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280" windowHeight="8175" tabRatio="956" activeTab="0"/>
  </bookViews>
  <sheets>
    <sheet name="Dégâts (1)" sheetId="1" r:id="rId1"/>
  </sheets>
  <definedNames>
    <definedName name="_xlnm.Print_Area" localSheetId="0">'Dégâts (1)'!$A$1:$P$103</definedName>
  </definedNames>
  <calcPr fullCalcOnLoad="1"/>
</workbook>
</file>

<file path=xl/sharedStrings.xml><?xml version="1.0" encoding="utf-8"?>
<sst xmlns="http://schemas.openxmlformats.org/spreadsheetml/2006/main" count="171" uniqueCount="132">
  <si>
    <t>Niveau de Maîtrise 0-5</t>
  </si>
  <si>
    <t>Ne pas toucher aux cellules sur fond vert !!!</t>
  </si>
  <si>
    <t>Spécialité d'alignement</t>
  </si>
  <si>
    <t>Métiers</t>
  </si>
  <si>
    <t>Premier</t>
  </si>
  <si>
    <t>Second</t>
  </si>
  <si>
    <t>Troisième</t>
  </si>
  <si>
    <t>Bonus de pod</t>
  </si>
  <si>
    <t>Outils</t>
  </si>
  <si>
    <t>Comparaison de plusieurs configurations d'équipements</t>
  </si>
  <si>
    <t>Niveau</t>
  </si>
  <si>
    <t>Force</t>
  </si>
  <si>
    <t>Intelligence</t>
  </si>
  <si>
    <t>Agilité</t>
  </si>
  <si>
    <t>Chance</t>
  </si>
  <si>
    <t>Prospection</t>
  </si>
  <si>
    <t>Base</t>
  </si>
  <si>
    <t>Amulette</t>
  </si>
  <si>
    <t>Ceinture</t>
  </si>
  <si>
    <t>Bottes</t>
  </si>
  <si>
    <t>Coiffe</t>
  </si>
  <si>
    <t>Cape</t>
  </si>
  <si>
    <t>Panoplie</t>
  </si>
  <si>
    <t>Familier</t>
  </si>
  <si>
    <t>Initiative</t>
  </si>
  <si>
    <t>Sagesse</t>
  </si>
  <si>
    <t>PO</t>
  </si>
  <si>
    <t>PA</t>
  </si>
  <si>
    <t>Créatures invocables</t>
  </si>
  <si>
    <t>Pods</t>
  </si>
  <si>
    <t>Sort Terre (maxi)</t>
  </si>
  <si>
    <t>Sort Feu (maxi)</t>
  </si>
  <si>
    <t>Sort Eau (maxi)</t>
  </si>
  <si>
    <t>Sort Air (maxi)</t>
  </si>
  <si>
    <t>Coup Critique</t>
  </si>
  <si>
    <t>Caractéristiques de base</t>
  </si>
  <si>
    <t>Réduction physiques</t>
  </si>
  <si>
    <t>Réduction magiques</t>
  </si>
  <si>
    <t>Résistances Neutre %</t>
  </si>
  <si>
    <t>Résistances Terre %</t>
  </si>
  <si>
    <t>Résistances Feu %</t>
  </si>
  <si>
    <t>Résistances Eau %</t>
  </si>
  <si>
    <t>Résistances Air %</t>
  </si>
  <si>
    <t>Equipement</t>
  </si>
  <si>
    <t>Attaque</t>
  </si>
  <si>
    <t>+x PO</t>
  </si>
  <si>
    <t>+x PA</t>
  </si>
  <si>
    <t>+x PM</t>
  </si>
  <si>
    <t>+ x au dommage</t>
  </si>
  <si>
    <t>+ x% aux dommage</t>
  </si>
  <si>
    <t>+ x au CC</t>
  </si>
  <si>
    <t>Neutre x à y</t>
  </si>
  <si>
    <t>Terre x à y</t>
  </si>
  <si>
    <t>Feu x à y</t>
  </si>
  <si>
    <t>Eau x à y</t>
  </si>
  <si>
    <t>Air x à y</t>
  </si>
  <si>
    <t>Taux de coup critique x/y</t>
  </si>
  <si>
    <t>Taux d'echec critique x/y</t>
  </si>
  <si>
    <t>Anneau gauche</t>
  </si>
  <si>
    <t>Anneau droit</t>
  </si>
  <si>
    <t>Taux de CC</t>
  </si>
  <si>
    <t>Taux de EC</t>
  </si>
  <si>
    <t>Lancés par tour</t>
  </si>
  <si>
    <t>Dommages sur CC</t>
  </si>
  <si>
    <t>Dégats moyen par attaque</t>
  </si>
  <si>
    <t>Dégats moyen par tour</t>
  </si>
  <si>
    <t>Classe</t>
  </si>
  <si>
    <t>Crâ</t>
  </si>
  <si>
    <t>Ecaflip</t>
  </si>
  <si>
    <t>Eniripsa</t>
  </si>
  <si>
    <t>Enutrof</t>
  </si>
  <si>
    <t>Féca</t>
  </si>
  <si>
    <t>Iop</t>
  </si>
  <si>
    <t>Osamodas</t>
  </si>
  <si>
    <t>Sadidas</t>
  </si>
  <si>
    <t>Sacrieur</t>
  </si>
  <si>
    <t>Sram</t>
  </si>
  <si>
    <t>Xélor</t>
  </si>
  <si>
    <t>Niveau de votre classe</t>
  </si>
  <si>
    <t>Race</t>
  </si>
  <si>
    <t>Feca</t>
  </si>
  <si>
    <t>Sadida</t>
  </si>
  <si>
    <t>Xelor</t>
  </si>
  <si>
    <t>% de retrait de PM et PM</t>
  </si>
  <si>
    <t>Dommages</t>
  </si>
  <si>
    <t xml:space="preserve">Sort Neutre </t>
  </si>
  <si>
    <t xml:space="preserve">Sort Terre </t>
  </si>
  <si>
    <t xml:space="preserve">Sort Feu </t>
  </si>
  <si>
    <t xml:space="preserve">Sort Eau </t>
  </si>
  <si>
    <t xml:space="preserve">Sort Air </t>
  </si>
  <si>
    <t>Arme</t>
  </si>
  <si>
    <t>Portée (mini / maxi)</t>
  </si>
  <si>
    <t>Dommages sur coup normal</t>
  </si>
  <si>
    <t>Résistances de l'ennemi %</t>
  </si>
  <si>
    <t>Elément</t>
  </si>
  <si>
    <t>Somme</t>
  </si>
  <si>
    <t>Bonus de maîtrise</t>
  </si>
  <si>
    <t>Auteur : Eléonie</t>
  </si>
  <si>
    <t>Arme / Outil</t>
  </si>
  <si>
    <t>Epée</t>
  </si>
  <si>
    <t>Dagues</t>
  </si>
  <si>
    <t>Pelle</t>
  </si>
  <si>
    <t>Hache</t>
  </si>
  <si>
    <t>Marteau</t>
  </si>
  <si>
    <t>Arc</t>
  </si>
  <si>
    <t>Bâton</t>
  </si>
  <si>
    <t>Baguette</t>
  </si>
  <si>
    <t>Dofus</t>
  </si>
  <si>
    <t>Commencer par compléter cette page en entier avec la première configuration.</t>
  </si>
  <si>
    <t>Comparez !</t>
  </si>
  <si>
    <t>Type de dégâts élémentaires de l'arme</t>
  </si>
  <si>
    <t>Classe Alignement</t>
  </si>
  <si>
    <t>Guerrier</t>
  </si>
  <si>
    <t>Guerrisseur</t>
  </si>
  <si>
    <t>Espion</t>
  </si>
  <si>
    <t>Energie</t>
  </si>
  <si>
    <t>Vie pour nbiveau de perso supérieur à 100</t>
  </si>
  <si>
    <t>Bonus d'alignement</t>
  </si>
  <si>
    <t>Dégâts de l'arme</t>
  </si>
  <si>
    <t>Bonus d'arme de classe</t>
  </si>
  <si>
    <t>Vitalité</t>
  </si>
  <si>
    <t>Vitalité de classe</t>
  </si>
  <si>
    <t>Vie (points de vie)</t>
  </si>
  <si>
    <t>Magie</t>
  </si>
  <si>
    <t>Bonus                Arme de classe          Maîtrise d'arme</t>
  </si>
  <si>
    <t>Dupliquez cet onglet : clic droit sur l'onglet Dégâts (1) -&gt; "Déplacer ou copier…" pour créer un second onglet nommé Dégâts (2).</t>
  </si>
  <si>
    <t>Compléter ensuite le fichier sur l'onglet Dégâts (2) avec la seconde configuration.</t>
  </si>
  <si>
    <t>Bonus / Malus de classe</t>
  </si>
  <si>
    <t>Rédactrice JoL</t>
  </si>
  <si>
    <t>Métier n°1</t>
  </si>
  <si>
    <t>Métier n°2</t>
  </si>
  <si>
    <t>Métier n°3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</si>
</sst>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0.0%"/>
    <numFmt numFmtId="176" formatCode="_-* #,##0.0\ _F_-;\-* #,##0.0\ _F_-;_-* &quot;-&quot;?\ _F_-;_-@_-"/>
    <numFmt numFmtId="177" formatCode="0.0000"/>
    <numFmt numFmtId="178" formatCode="0.000"/>
    <numFmt numFmtId="179" formatCode="0.0"/>
    <numFmt numFmtId="180" formatCode="&quot;Vrai&quot;;&quot;Vrai&quot;;&quot;Faux&quot;"/>
    <numFmt numFmtId="181" formatCode="&quot;Actif&quot;;&quot;Actif&quot;;&quot;Inactif&quot;"/>
    <numFmt numFmtId="182" formatCode="#,##0\ _k"/>
    <numFmt numFmtId="183" formatCode="#,##0\k"/>
    <numFmt numFmtId="184" formatCode="[$-40C]dddd\ d\ mmmm\ yyyy"/>
    <numFmt numFmtId="185" formatCode="00000"/>
    <numFmt numFmtId="186" formatCode="#,##0\ _€"/>
    <numFmt numFmtId="187" formatCode="0.00000"/>
    <numFmt numFmtId="188" formatCode="0.000%"/>
    <numFmt numFmtId="189" formatCode="_-* #,##0.0000\ _F_-;\-* #,##0.0000\ _F_-;_-* &quot;-&quot;??\ _F_-;_-@_-"/>
    <numFmt numFmtId="190" formatCode="#,##0.00\ _F"/>
    <numFmt numFmtId="191" formatCode="#,##0.0\ _F"/>
    <numFmt numFmtId="192" formatCode="#,##0\ _F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color indexed="13"/>
      <name val="Arial Black"/>
      <family val="2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b/>
      <i/>
      <sz val="9"/>
      <color indexed="48"/>
      <name val="Arial"/>
      <family val="2"/>
    </font>
    <font>
      <sz val="8"/>
      <color indexed="23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sz val="9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/>
    </xf>
    <xf numFmtId="9" fontId="0" fillId="0" borderId="0" xfId="21" applyFill="1" applyBorder="1" applyAlignment="1">
      <alignment horizontal="center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textRotation="90" wrapText="1"/>
    </xf>
    <xf numFmtId="0" fontId="0" fillId="0" borderId="5" xfId="0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5" xfId="0" applyBorder="1" applyAlignment="1">
      <alignment/>
    </xf>
    <xf numFmtId="0" fontId="0" fillId="0" borderId="3" xfId="0" applyBorder="1" applyAlignment="1" quotePrefix="1">
      <alignment/>
    </xf>
    <xf numFmtId="0" fontId="0" fillId="0" borderId="2" xfId="0" applyBorder="1" applyAlignment="1" quotePrefix="1">
      <alignment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21" applyFill="1" applyBorder="1" applyAlignment="1">
      <alignment horizontal="center" vertical="center"/>
    </xf>
    <xf numFmtId="171" fontId="0" fillId="0" borderId="0" xfId="17" applyBorder="1" applyAlignment="1">
      <alignment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 textRotation="90" wrapText="1"/>
    </xf>
    <xf numFmtId="0" fontId="0" fillId="0" borderId="0" xfId="0" applyFill="1" applyAlignment="1">
      <alignment/>
    </xf>
    <xf numFmtId="0" fontId="1" fillId="3" borderId="18" xfId="0" applyFont="1" applyFill="1" applyBorder="1" applyAlignment="1">
      <alignment horizontal="center" textRotation="90" wrapText="1"/>
    </xf>
    <xf numFmtId="0" fontId="1" fillId="3" borderId="19" xfId="0" applyFont="1" applyFill="1" applyBorder="1" applyAlignment="1">
      <alignment horizontal="center" textRotation="90" wrapText="1"/>
    </xf>
    <xf numFmtId="0" fontId="1" fillId="3" borderId="20" xfId="0" applyFont="1" applyFill="1" applyBorder="1" applyAlignment="1">
      <alignment horizontal="center" textRotation="90" wrapText="1"/>
    </xf>
    <xf numFmtId="0" fontId="1" fillId="4" borderId="3" xfId="0" applyFont="1" applyFill="1" applyBorder="1" applyAlignment="1">
      <alignment horizontal="center" vertical="center"/>
    </xf>
    <xf numFmtId="9" fontId="1" fillId="4" borderId="1" xfId="2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9" fontId="1" fillId="4" borderId="2" xfId="2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9" fontId="0" fillId="5" borderId="23" xfId="21" applyFill="1" applyBorder="1" applyAlignment="1">
      <alignment horizontal="center" vertical="center"/>
    </xf>
    <xf numFmtId="9" fontId="0" fillId="5" borderId="8" xfId="21" applyFill="1" applyBorder="1" applyAlignment="1">
      <alignment horizontal="center" vertical="center"/>
    </xf>
    <xf numFmtId="9" fontId="0" fillId="5" borderId="1" xfId="2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9" fontId="0" fillId="5" borderId="21" xfId="21" applyFill="1" applyBorder="1" applyAlignment="1">
      <alignment horizontal="center" vertical="center"/>
    </xf>
    <xf numFmtId="9" fontId="0" fillId="5" borderId="22" xfId="21" applyFill="1" applyBorder="1" applyAlignment="1">
      <alignment horizontal="center" vertical="center"/>
    </xf>
    <xf numFmtId="9" fontId="0" fillId="5" borderId="3" xfId="21" applyFill="1" applyBorder="1" applyAlignment="1">
      <alignment horizontal="center" vertical="center"/>
    </xf>
    <xf numFmtId="9" fontId="0" fillId="5" borderId="13" xfId="21" applyFill="1" applyBorder="1" applyAlignment="1">
      <alignment horizontal="center" vertical="center"/>
    </xf>
    <xf numFmtId="9" fontId="0" fillId="5" borderId="14" xfId="21" applyFill="1" applyBorder="1" applyAlignment="1">
      <alignment horizontal="center" vertical="center"/>
    </xf>
    <xf numFmtId="9" fontId="0" fillId="5" borderId="2" xfId="2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4" fontId="0" fillId="4" borderId="29" xfId="17" applyNumberFormat="1" applyFill="1" applyBorder="1" applyAlignment="1">
      <alignment horizontal="center" vertical="center"/>
    </xf>
    <xf numFmtId="174" fontId="0" fillId="4" borderId="33" xfId="17" applyNumberFormat="1" applyFill="1" applyBorder="1" applyAlignment="1">
      <alignment horizontal="center" vertical="center"/>
    </xf>
    <xf numFmtId="174" fontId="0" fillId="4" borderId="9" xfId="17" applyNumberFormat="1" applyFill="1" applyBorder="1" applyAlignment="1">
      <alignment horizontal="center" vertical="center"/>
    </xf>
    <xf numFmtId="174" fontId="0" fillId="4" borderId="31" xfId="17" applyNumberFormat="1" applyFill="1" applyBorder="1" applyAlignment="1">
      <alignment horizontal="center" vertical="center"/>
    </xf>
    <xf numFmtId="174" fontId="0" fillId="4" borderId="23" xfId="17" applyNumberForma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textRotation="90" wrapText="1"/>
    </xf>
    <xf numFmtId="0" fontId="7" fillId="0" borderId="0" xfId="0" applyFont="1" applyFill="1" applyBorder="1" applyAlignment="1">
      <alignment horizontal="center" vertical="center" textRotation="90"/>
    </xf>
    <xf numFmtId="9" fontId="7" fillId="0" borderId="0" xfId="21" applyFont="1" applyFill="1" applyBorder="1" applyAlignment="1">
      <alignment/>
    </xf>
    <xf numFmtId="0" fontId="7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/>
    </xf>
    <xf numFmtId="9" fontId="7" fillId="0" borderId="0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34" xfId="0" applyBorder="1" applyAlignment="1">
      <alignment/>
    </xf>
    <xf numFmtId="9" fontId="7" fillId="0" borderId="23" xfId="2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174" fontId="7" fillId="0" borderId="23" xfId="17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4" fontId="7" fillId="0" borderId="29" xfId="17" applyNumberFormat="1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right" wrapText="1"/>
    </xf>
    <xf numFmtId="0" fontId="1" fillId="3" borderId="36" xfId="0" applyFont="1" applyFill="1" applyBorder="1" applyAlignment="1">
      <alignment horizontal="center" textRotation="90" wrapText="1"/>
    </xf>
    <xf numFmtId="0" fontId="1" fillId="0" borderId="37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74" fontId="7" fillId="0" borderId="23" xfId="17" applyNumberFormat="1" applyFont="1" applyFill="1" applyBorder="1" applyAlignment="1">
      <alignment/>
    </xf>
    <xf numFmtId="0" fontId="0" fillId="0" borderId="23" xfId="0" applyBorder="1" applyAlignment="1">
      <alignment/>
    </xf>
    <xf numFmtId="0" fontId="5" fillId="6" borderId="29" xfId="0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9" fontId="0" fillId="0" borderId="23" xfId="2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9" fontId="1" fillId="4" borderId="40" xfId="21" applyFont="1" applyFill="1" applyBorder="1" applyAlignment="1">
      <alignment horizontal="center" vertical="center"/>
    </xf>
    <xf numFmtId="0" fontId="0" fillId="7" borderId="23" xfId="0" applyFill="1" applyBorder="1" applyAlignment="1">
      <alignment/>
    </xf>
    <xf numFmtId="9" fontId="0" fillId="7" borderId="23" xfId="21" applyFill="1" applyBorder="1" applyAlignment="1">
      <alignment/>
    </xf>
    <xf numFmtId="0" fontId="7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/>
    </xf>
    <xf numFmtId="9" fontId="8" fillId="0" borderId="29" xfId="21" applyFont="1" applyFill="1" applyBorder="1" applyAlignment="1">
      <alignment horizontal="center" vertical="center"/>
    </xf>
    <xf numFmtId="9" fontId="8" fillId="0" borderId="21" xfId="21" applyFont="1" applyFill="1" applyBorder="1" applyAlignment="1">
      <alignment horizontal="center" vertical="center"/>
    </xf>
    <xf numFmtId="9" fontId="8" fillId="0" borderId="33" xfId="21" applyFont="1" applyFill="1" applyBorder="1" applyAlignment="1">
      <alignment horizontal="center" vertical="center"/>
    </xf>
    <xf numFmtId="174" fontId="8" fillId="0" borderId="7" xfId="17" applyNumberFormat="1" applyFont="1" applyFill="1" applyBorder="1" applyAlignment="1">
      <alignment horizontal="center" vertical="center"/>
    </xf>
    <xf numFmtId="9" fontId="8" fillId="0" borderId="9" xfId="21" applyFont="1" applyFill="1" applyBorder="1" applyAlignment="1">
      <alignment horizontal="center" vertical="center"/>
    </xf>
    <xf numFmtId="9" fontId="8" fillId="0" borderId="23" xfId="21" applyFont="1" applyFill="1" applyBorder="1" applyAlignment="1">
      <alignment horizontal="center" vertical="center"/>
    </xf>
    <xf numFmtId="9" fontId="8" fillId="0" borderId="31" xfId="21" applyFont="1" applyFill="1" applyBorder="1" applyAlignment="1">
      <alignment horizontal="center" vertical="center"/>
    </xf>
    <xf numFmtId="9" fontId="8" fillId="0" borderId="41" xfId="21" applyFont="1" applyFill="1" applyBorder="1" applyAlignment="1">
      <alignment horizontal="center" vertical="center"/>
    </xf>
    <xf numFmtId="9" fontId="8" fillId="0" borderId="13" xfId="21" applyFont="1" applyFill="1" applyBorder="1" applyAlignment="1">
      <alignment horizontal="center" vertical="center"/>
    </xf>
    <xf numFmtId="9" fontId="8" fillId="0" borderId="42" xfId="2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7" borderId="23" xfId="0" applyFont="1" applyFill="1" applyBorder="1" applyAlignment="1">
      <alignment/>
    </xf>
    <xf numFmtId="0" fontId="1" fillId="7" borderId="23" xfId="0" applyFont="1" applyFill="1" applyBorder="1" applyAlignment="1" applyProtection="1">
      <alignment/>
      <protection/>
    </xf>
    <xf numFmtId="0" fontId="1" fillId="3" borderId="39" xfId="0" applyFont="1" applyFill="1" applyBorder="1" applyAlignment="1">
      <alignment horizontal="center" textRotation="90" wrapText="1"/>
    </xf>
    <xf numFmtId="0" fontId="0" fillId="2" borderId="2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4" fontId="0" fillId="4" borderId="22" xfId="17" applyNumberFormat="1" applyFill="1" applyBorder="1" applyAlignment="1">
      <alignment horizontal="center" vertical="center"/>
    </xf>
    <xf numFmtId="174" fontId="0" fillId="4" borderId="8" xfId="17" applyNumberForma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9" fontId="1" fillId="0" borderId="0" xfId="2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9" fontId="9" fillId="0" borderId="0" xfId="2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9" fontId="1" fillId="4" borderId="4" xfId="21" applyFont="1" applyFill="1" applyBorder="1" applyAlignment="1">
      <alignment horizontal="center" vertical="center"/>
    </xf>
    <xf numFmtId="9" fontId="1" fillId="4" borderId="5" xfId="2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textRotation="90" wrapText="1"/>
    </xf>
    <xf numFmtId="0" fontId="1" fillId="3" borderId="44" xfId="0" applyFont="1" applyFill="1" applyBorder="1" applyAlignment="1">
      <alignment horizontal="center" textRotation="90" wrapText="1"/>
    </xf>
    <xf numFmtId="0" fontId="6" fillId="8" borderId="44" xfId="0" applyFont="1" applyFill="1" applyBorder="1" applyAlignment="1">
      <alignment horizontal="center" textRotation="90" wrapText="1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9" fontId="0" fillId="4" borderId="21" xfId="21" applyFont="1" applyFill="1" applyBorder="1" applyAlignment="1">
      <alignment horizontal="center" vertical="center"/>
    </xf>
    <xf numFmtId="9" fontId="0" fillId="4" borderId="33" xfId="21" applyFont="1" applyFill="1" applyBorder="1" applyAlignment="1">
      <alignment horizontal="center" vertical="center"/>
    </xf>
    <xf numFmtId="9" fontId="0" fillId="4" borderId="9" xfId="21" applyFont="1" applyFill="1" applyBorder="1" applyAlignment="1">
      <alignment horizontal="center" vertical="center"/>
    </xf>
    <xf numFmtId="9" fontId="0" fillId="4" borderId="23" xfId="21" applyFont="1" applyFill="1" applyBorder="1" applyAlignment="1">
      <alignment horizontal="center" vertical="center"/>
    </xf>
    <xf numFmtId="9" fontId="0" fillId="4" borderId="31" xfId="21" applyFont="1" applyFill="1" applyBorder="1" applyAlignment="1">
      <alignment horizontal="center" vertical="center"/>
    </xf>
    <xf numFmtId="9" fontId="0" fillId="4" borderId="41" xfId="21" applyFont="1" applyFill="1" applyBorder="1" applyAlignment="1">
      <alignment horizontal="center" vertical="center"/>
    </xf>
    <xf numFmtId="9" fontId="0" fillId="4" borderId="13" xfId="21" applyFont="1" applyFill="1" applyBorder="1" applyAlignment="1">
      <alignment horizontal="center" vertical="center"/>
    </xf>
    <xf numFmtId="0" fontId="1" fillId="9" borderId="45" xfId="17" applyNumberFormat="1" applyFont="1" applyFill="1" applyBorder="1" applyAlignment="1">
      <alignment horizontal="center" vertical="center"/>
    </xf>
    <xf numFmtId="0" fontId="1" fillId="9" borderId="46" xfId="17" applyNumberFormat="1" applyFont="1" applyFill="1" applyBorder="1" applyAlignment="1">
      <alignment horizontal="center" vertical="center"/>
    </xf>
    <xf numFmtId="0" fontId="1" fillId="9" borderId="47" xfId="17" applyNumberFormat="1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9" fontId="0" fillId="4" borderId="42" xfId="21" applyFont="1" applyFill="1" applyBorder="1" applyAlignment="1">
      <alignment horizontal="center" vertical="center"/>
    </xf>
    <xf numFmtId="174" fontId="0" fillId="4" borderId="21" xfId="17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9" fontId="0" fillId="4" borderId="29" xfId="2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/>
    </xf>
    <xf numFmtId="0" fontId="1" fillId="3" borderId="35" xfId="0" applyFont="1" applyFill="1" applyBorder="1" applyAlignment="1">
      <alignment horizontal="center" textRotation="90" wrapText="1"/>
    </xf>
    <xf numFmtId="0" fontId="18" fillId="3" borderId="0" xfId="0" applyFont="1" applyFill="1" applyBorder="1" applyAlignment="1">
      <alignment horizontal="left" vertical="center"/>
    </xf>
    <xf numFmtId="0" fontId="0" fillId="0" borderId="23" xfId="0" applyBorder="1" applyAlignment="1">
      <alignment textRotation="90" wrapText="1"/>
    </xf>
    <xf numFmtId="0" fontId="8" fillId="0" borderId="0" xfId="0" applyFont="1" applyAlignment="1">
      <alignment/>
    </xf>
    <xf numFmtId="0" fontId="10" fillId="3" borderId="0" xfId="0" applyFont="1" applyFill="1" applyBorder="1" applyAlignment="1">
      <alignment horizontal="right"/>
    </xf>
    <xf numFmtId="0" fontId="0" fillId="3" borderId="0" xfId="0" applyFill="1" applyAlignment="1">
      <alignment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wrapText="1"/>
    </xf>
    <xf numFmtId="0" fontId="0" fillId="5" borderId="4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wrapText="1"/>
    </xf>
    <xf numFmtId="9" fontId="7" fillId="0" borderId="23" xfId="21" applyFont="1" applyFill="1" applyBorder="1" applyAlignment="1">
      <alignment horizontal="center" vertical="center"/>
    </xf>
    <xf numFmtId="9" fontId="0" fillId="0" borderId="0" xfId="21" applyFill="1" applyBorder="1" applyAlignment="1">
      <alignment horizontal="center" vertical="center"/>
    </xf>
    <xf numFmtId="9" fontId="0" fillId="5" borderId="39" xfId="21" applyFill="1" applyBorder="1" applyAlignment="1">
      <alignment horizontal="center" vertical="center"/>
    </xf>
    <xf numFmtId="9" fontId="0" fillId="5" borderId="38" xfId="21" applyFill="1" applyBorder="1" applyAlignment="1">
      <alignment horizontal="center" vertical="center"/>
    </xf>
    <xf numFmtId="9" fontId="0" fillId="5" borderId="48" xfId="21" applyFill="1" applyBorder="1" applyAlignment="1">
      <alignment horizontal="center" vertical="center"/>
    </xf>
    <xf numFmtId="173" fontId="6" fillId="8" borderId="17" xfId="0" applyNumberFormat="1" applyFont="1" applyFill="1" applyBorder="1" applyAlignment="1">
      <alignment horizontal="center" vertical="center"/>
    </xf>
    <xf numFmtId="173" fontId="6" fillId="8" borderId="47" xfId="0" applyNumberFormat="1" applyFont="1" applyFill="1" applyBorder="1" applyAlignment="1">
      <alignment horizontal="center" vertical="center"/>
    </xf>
    <xf numFmtId="173" fontId="0" fillId="4" borderId="9" xfId="0" applyNumberFormat="1" applyFill="1" applyBorder="1" applyAlignment="1">
      <alignment horizontal="center" vertical="center"/>
    </xf>
    <xf numFmtId="173" fontId="0" fillId="4" borderId="23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73" fontId="0" fillId="4" borderId="31" xfId="0" applyNumberFormat="1" applyFill="1" applyBorder="1" applyAlignment="1">
      <alignment horizontal="center" vertical="center"/>
    </xf>
    <xf numFmtId="173" fontId="0" fillId="4" borderId="8" xfId="0" applyNumberFormat="1" applyFill="1" applyBorder="1" applyAlignment="1">
      <alignment horizontal="center" vertical="center"/>
    </xf>
    <xf numFmtId="175" fontId="0" fillId="4" borderId="9" xfId="21" applyNumberFormat="1" applyFill="1" applyBorder="1" applyAlignment="1">
      <alignment horizontal="center" vertical="center"/>
    </xf>
    <xf numFmtId="175" fontId="0" fillId="4" borderId="31" xfId="21" applyNumberForma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center" wrapText="1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" fillId="3" borderId="51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173" fontId="6" fillId="8" borderId="52" xfId="0" applyNumberFormat="1" applyFont="1" applyFill="1" applyBorder="1" applyAlignment="1">
      <alignment horizontal="center" vertical="center"/>
    </xf>
    <xf numFmtId="173" fontId="6" fillId="8" borderId="41" xfId="0" applyNumberFormat="1" applyFont="1" applyFill="1" applyBorder="1" applyAlignment="1">
      <alignment horizontal="center" vertical="center"/>
    </xf>
    <xf numFmtId="173" fontId="6" fillId="8" borderId="13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175" fontId="0" fillId="4" borderId="8" xfId="21" applyNumberFormat="1" applyFill="1" applyBorder="1" applyAlignment="1">
      <alignment horizontal="center" vertical="center"/>
    </xf>
    <xf numFmtId="175" fontId="0" fillId="4" borderId="23" xfId="21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42" xfId="0" applyFill="1" applyBorder="1" applyAlignment="1">
      <alignment horizontal="left" vertical="center" wrapText="1"/>
    </xf>
    <xf numFmtId="0" fontId="1" fillId="3" borderId="53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/>
    </xf>
    <xf numFmtId="0" fontId="0" fillId="3" borderId="43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9" fontId="9" fillId="4" borderId="25" xfId="21" applyFont="1" applyFill="1" applyBorder="1" applyAlignment="1">
      <alignment horizontal="center" vertical="center"/>
    </xf>
    <xf numFmtId="9" fontId="9" fillId="4" borderId="58" xfId="21" applyFont="1" applyFill="1" applyBorder="1" applyAlignment="1">
      <alignment horizontal="center" vertical="center"/>
    </xf>
    <xf numFmtId="9" fontId="9" fillId="4" borderId="56" xfId="21" applyFont="1" applyFill="1" applyBorder="1" applyAlignment="1">
      <alignment horizontal="center" vertical="center"/>
    </xf>
    <xf numFmtId="9" fontId="9" fillId="4" borderId="57" xfId="21" applyFont="1" applyFill="1" applyBorder="1" applyAlignment="1">
      <alignment horizontal="center" vertical="center"/>
    </xf>
    <xf numFmtId="9" fontId="9" fillId="4" borderId="59" xfId="21" applyFont="1" applyFill="1" applyBorder="1" applyAlignment="1">
      <alignment horizontal="center" vertical="center"/>
    </xf>
    <xf numFmtId="9" fontId="9" fillId="4" borderId="60" xfId="21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31" xfId="0" applyFont="1" applyFill="1" applyBorder="1" applyAlignment="1">
      <alignment horizontal="center"/>
    </xf>
    <xf numFmtId="9" fontId="0" fillId="2" borderId="39" xfId="21" applyFill="1" applyBorder="1" applyAlignment="1">
      <alignment horizontal="center" vertical="center"/>
    </xf>
    <xf numFmtId="9" fontId="0" fillId="2" borderId="20" xfId="21" applyFill="1" applyBorder="1" applyAlignment="1">
      <alignment horizontal="center" vertical="center"/>
    </xf>
    <xf numFmtId="9" fontId="0" fillId="2" borderId="38" xfId="2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top" wrapText="1"/>
    </xf>
    <xf numFmtId="0" fontId="5" fillId="6" borderId="34" xfId="0" applyFont="1" applyFill="1" applyBorder="1" applyAlignment="1">
      <alignment horizontal="right" wrapText="1"/>
    </xf>
    <xf numFmtId="0" fontId="5" fillId="6" borderId="61" xfId="0" applyFont="1" applyFill="1" applyBorder="1" applyAlignment="1">
      <alignment horizontal="right" wrapText="1"/>
    </xf>
    <xf numFmtId="0" fontId="5" fillId="6" borderId="62" xfId="0" applyFont="1" applyFill="1" applyBorder="1" applyAlignment="1">
      <alignment horizontal="right" wrapText="1"/>
    </xf>
    <xf numFmtId="0" fontId="0" fillId="0" borderId="3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63" xfId="0" applyFill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3" borderId="57" xfId="0" applyFill="1" applyBorder="1" applyAlignment="1">
      <alignment horizontal="left" wrapText="1"/>
    </xf>
    <xf numFmtId="0" fontId="0" fillId="3" borderId="0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7.png" /><Relationship Id="rId26" Type="http://schemas.openxmlformats.org/officeDocument/2006/relationships/image" Target="../media/image28.png" /><Relationship Id="rId27" Type="http://schemas.openxmlformats.org/officeDocument/2006/relationships/image" Target="../media/image29.png" /><Relationship Id="rId28" Type="http://schemas.openxmlformats.org/officeDocument/2006/relationships/image" Target="../media/image30.png" /><Relationship Id="rId29" Type="http://schemas.openxmlformats.org/officeDocument/2006/relationships/image" Target="../media/image31.png" /><Relationship Id="rId30" Type="http://schemas.openxmlformats.org/officeDocument/2006/relationships/image" Target="../media/image26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1362075</xdr:colOff>
      <xdr:row>1</xdr:row>
      <xdr:rowOff>1114425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52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38100</xdr:rowOff>
    </xdr:from>
    <xdr:to>
      <xdr:col>2</xdr:col>
      <xdr:colOff>409575</xdr:colOff>
      <xdr:row>1</xdr:row>
      <xdr:rowOff>400050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38100</xdr:rowOff>
    </xdr:from>
    <xdr:to>
      <xdr:col>12</xdr:col>
      <xdr:colOff>400050</xdr:colOff>
      <xdr:row>1</xdr:row>
      <xdr:rowOff>400050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38100</xdr:rowOff>
    </xdr:from>
    <xdr:to>
      <xdr:col>3</xdr:col>
      <xdr:colOff>409575</xdr:colOff>
      <xdr:row>1</xdr:row>
      <xdr:rowOff>400050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38100</xdr:rowOff>
    </xdr:from>
    <xdr:to>
      <xdr:col>4</xdr:col>
      <xdr:colOff>400050</xdr:colOff>
      <xdr:row>1</xdr:row>
      <xdr:rowOff>400050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</xdr:row>
      <xdr:rowOff>38100</xdr:rowOff>
    </xdr:from>
    <xdr:to>
      <xdr:col>5</xdr:col>
      <xdr:colOff>400050</xdr:colOff>
      <xdr:row>1</xdr:row>
      <xdr:rowOff>400050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0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</xdr:row>
      <xdr:rowOff>38100</xdr:rowOff>
    </xdr:from>
    <xdr:to>
      <xdr:col>6</xdr:col>
      <xdr:colOff>400050</xdr:colOff>
      <xdr:row>1</xdr:row>
      <xdr:rowOff>400050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86175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</xdr:row>
      <xdr:rowOff>38100</xdr:rowOff>
    </xdr:from>
    <xdr:to>
      <xdr:col>7</xdr:col>
      <xdr:colOff>400050</xdr:colOff>
      <xdr:row>1</xdr:row>
      <xdr:rowOff>400050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</xdr:row>
      <xdr:rowOff>38100</xdr:rowOff>
    </xdr:from>
    <xdr:to>
      <xdr:col>8</xdr:col>
      <xdr:colOff>409575</xdr:colOff>
      <xdr:row>1</xdr:row>
      <xdr:rowOff>400050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91050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</xdr:row>
      <xdr:rowOff>38100</xdr:rowOff>
    </xdr:from>
    <xdr:to>
      <xdr:col>10</xdr:col>
      <xdr:colOff>400050</xdr:colOff>
      <xdr:row>1</xdr:row>
      <xdr:rowOff>400050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76875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</xdr:row>
      <xdr:rowOff>38100</xdr:rowOff>
    </xdr:from>
    <xdr:to>
      <xdr:col>9</xdr:col>
      <xdr:colOff>400050</xdr:colOff>
      <xdr:row>1</xdr:row>
      <xdr:rowOff>400050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29200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</xdr:row>
      <xdr:rowOff>38100</xdr:rowOff>
    </xdr:from>
    <xdr:to>
      <xdr:col>11</xdr:col>
      <xdr:colOff>390525</xdr:colOff>
      <xdr:row>1</xdr:row>
      <xdr:rowOff>400050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15025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10</xdr:row>
      <xdr:rowOff>47625</xdr:rowOff>
    </xdr:from>
    <xdr:to>
      <xdr:col>13</xdr:col>
      <xdr:colOff>381000</xdr:colOff>
      <xdr:row>10</xdr:row>
      <xdr:rowOff>381000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29425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</xdr:row>
      <xdr:rowOff>47625</xdr:rowOff>
    </xdr:from>
    <xdr:to>
      <xdr:col>7</xdr:col>
      <xdr:colOff>390525</xdr:colOff>
      <xdr:row>10</xdr:row>
      <xdr:rowOff>381000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52900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10</xdr:row>
      <xdr:rowOff>47625</xdr:rowOff>
    </xdr:from>
    <xdr:to>
      <xdr:col>9</xdr:col>
      <xdr:colOff>390525</xdr:colOff>
      <xdr:row>10</xdr:row>
      <xdr:rowOff>381000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0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10</xdr:row>
      <xdr:rowOff>47625</xdr:rowOff>
    </xdr:from>
    <xdr:to>
      <xdr:col>6</xdr:col>
      <xdr:colOff>390525</xdr:colOff>
      <xdr:row>10</xdr:row>
      <xdr:rowOff>381000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05225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10</xdr:row>
      <xdr:rowOff>47625</xdr:rowOff>
    </xdr:from>
    <xdr:to>
      <xdr:col>8</xdr:col>
      <xdr:colOff>381000</xdr:colOff>
      <xdr:row>10</xdr:row>
      <xdr:rowOff>381000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47625</xdr:rowOff>
    </xdr:from>
    <xdr:to>
      <xdr:col>12</xdr:col>
      <xdr:colOff>381000</xdr:colOff>
      <xdr:row>10</xdr:row>
      <xdr:rowOff>381000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81750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47625</xdr:rowOff>
    </xdr:from>
    <xdr:to>
      <xdr:col>11</xdr:col>
      <xdr:colOff>381000</xdr:colOff>
      <xdr:row>10</xdr:row>
      <xdr:rowOff>381000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34075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47625</xdr:rowOff>
    </xdr:from>
    <xdr:to>
      <xdr:col>10</xdr:col>
      <xdr:colOff>390525</xdr:colOff>
      <xdr:row>10</xdr:row>
      <xdr:rowOff>381000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95925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10</xdr:row>
      <xdr:rowOff>47625</xdr:rowOff>
    </xdr:from>
    <xdr:to>
      <xdr:col>3</xdr:col>
      <xdr:colOff>390525</xdr:colOff>
      <xdr:row>10</xdr:row>
      <xdr:rowOff>381000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62200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10</xdr:row>
      <xdr:rowOff>47625</xdr:rowOff>
    </xdr:from>
    <xdr:to>
      <xdr:col>5</xdr:col>
      <xdr:colOff>390525</xdr:colOff>
      <xdr:row>10</xdr:row>
      <xdr:rowOff>381000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57550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47625</xdr:rowOff>
    </xdr:from>
    <xdr:to>
      <xdr:col>4</xdr:col>
      <xdr:colOff>390525</xdr:colOff>
      <xdr:row>10</xdr:row>
      <xdr:rowOff>381000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09875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47625</xdr:rowOff>
    </xdr:from>
    <xdr:to>
      <xdr:col>2</xdr:col>
      <xdr:colOff>381000</xdr:colOff>
      <xdr:row>10</xdr:row>
      <xdr:rowOff>381000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05000" y="382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38</xdr:row>
      <xdr:rowOff>28575</xdr:rowOff>
    </xdr:from>
    <xdr:to>
      <xdr:col>3</xdr:col>
      <xdr:colOff>238125</xdr:colOff>
      <xdr:row>38</xdr:row>
      <xdr:rowOff>504825</xdr:rowOff>
    </xdr:to>
    <xdr:pic>
      <xdr:nvPicPr>
        <xdr:cNvPr id="25" name="Picture 3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066925" y="9648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38</xdr:row>
      <xdr:rowOff>28575</xdr:rowOff>
    </xdr:from>
    <xdr:to>
      <xdr:col>5</xdr:col>
      <xdr:colOff>238125</xdr:colOff>
      <xdr:row>38</xdr:row>
      <xdr:rowOff>504825</xdr:rowOff>
    </xdr:to>
    <xdr:pic>
      <xdr:nvPicPr>
        <xdr:cNvPr id="26" name="Picture 3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962275" y="9648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38</xdr:row>
      <xdr:rowOff>38100</xdr:rowOff>
    </xdr:from>
    <xdr:to>
      <xdr:col>11</xdr:col>
      <xdr:colOff>238125</xdr:colOff>
      <xdr:row>38</xdr:row>
      <xdr:rowOff>514350</xdr:rowOff>
    </xdr:to>
    <xdr:pic>
      <xdr:nvPicPr>
        <xdr:cNvPr id="27" name="Picture 37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648325" y="9658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38</xdr:row>
      <xdr:rowOff>114300</xdr:rowOff>
    </xdr:from>
    <xdr:to>
      <xdr:col>13</xdr:col>
      <xdr:colOff>76200</xdr:colOff>
      <xdr:row>38</xdr:row>
      <xdr:rowOff>447675</xdr:rowOff>
    </xdr:to>
    <xdr:pic>
      <xdr:nvPicPr>
        <xdr:cNvPr id="28" name="Picture 38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6524625" y="97345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38</xdr:row>
      <xdr:rowOff>38100</xdr:rowOff>
    </xdr:from>
    <xdr:to>
      <xdr:col>9</xdr:col>
      <xdr:colOff>247650</xdr:colOff>
      <xdr:row>38</xdr:row>
      <xdr:rowOff>514350</xdr:rowOff>
    </xdr:to>
    <xdr:pic>
      <xdr:nvPicPr>
        <xdr:cNvPr id="29" name="Picture 39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4762500" y="9658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38</xdr:row>
      <xdr:rowOff>28575</xdr:rowOff>
    </xdr:from>
    <xdr:to>
      <xdr:col>7</xdr:col>
      <xdr:colOff>238125</xdr:colOff>
      <xdr:row>38</xdr:row>
      <xdr:rowOff>504825</xdr:rowOff>
    </xdr:to>
    <xdr:pic>
      <xdr:nvPicPr>
        <xdr:cNvPr id="30" name="Picture 40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57625" y="9648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52</xdr:row>
      <xdr:rowOff>28575</xdr:rowOff>
    </xdr:from>
    <xdr:to>
      <xdr:col>3</xdr:col>
      <xdr:colOff>238125</xdr:colOff>
      <xdr:row>52</xdr:row>
      <xdr:rowOff>504825</xdr:rowOff>
    </xdr:to>
    <xdr:pic>
      <xdr:nvPicPr>
        <xdr:cNvPr id="31" name="Picture 4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066925" y="124015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52</xdr:row>
      <xdr:rowOff>28575</xdr:rowOff>
    </xdr:from>
    <xdr:to>
      <xdr:col>5</xdr:col>
      <xdr:colOff>238125</xdr:colOff>
      <xdr:row>52</xdr:row>
      <xdr:rowOff>504825</xdr:rowOff>
    </xdr:to>
    <xdr:pic>
      <xdr:nvPicPr>
        <xdr:cNvPr id="32" name="Picture 42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962275" y="124015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52</xdr:row>
      <xdr:rowOff>38100</xdr:rowOff>
    </xdr:from>
    <xdr:to>
      <xdr:col>11</xdr:col>
      <xdr:colOff>238125</xdr:colOff>
      <xdr:row>52</xdr:row>
      <xdr:rowOff>514350</xdr:rowOff>
    </xdr:to>
    <xdr:pic>
      <xdr:nvPicPr>
        <xdr:cNvPr id="33" name="Picture 43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648325" y="12411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52</xdr:row>
      <xdr:rowOff>114300</xdr:rowOff>
    </xdr:from>
    <xdr:to>
      <xdr:col>13</xdr:col>
      <xdr:colOff>76200</xdr:colOff>
      <xdr:row>52</xdr:row>
      <xdr:rowOff>447675</xdr:rowOff>
    </xdr:to>
    <xdr:pic>
      <xdr:nvPicPr>
        <xdr:cNvPr id="34" name="Picture 4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6524625" y="124872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52</xdr:row>
      <xdr:rowOff>38100</xdr:rowOff>
    </xdr:from>
    <xdr:to>
      <xdr:col>9</xdr:col>
      <xdr:colOff>247650</xdr:colOff>
      <xdr:row>52</xdr:row>
      <xdr:rowOff>514350</xdr:rowOff>
    </xdr:to>
    <xdr:pic>
      <xdr:nvPicPr>
        <xdr:cNvPr id="35" name="Picture 45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4762500" y="12411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52</xdr:row>
      <xdr:rowOff>28575</xdr:rowOff>
    </xdr:from>
    <xdr:to>
      <xdr:col>7</xdr:col>
      <xdr:colOff>238125</xdr:colOff>
      <xdr:row>52</xdr:row>
      <xdr:rowOff>504825</xdr:rowOff>
    </xdr:to>
    <xdr:pic>
      <xdr:nvPicPr>
        <xdr:cNvPr id="36" name="Picture 46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57625" y="124015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74</xdr:row>
      <xdr:rowOff>38100</xdr:rowOff>
    </xdr:from>
    <xdr:to>
      <xdr:col>2</xdr:col>
      <xdr:colOff>409575</xdr:colOff>
      <xdr:row>74</xdr:row>
      <xdr:rowOff>400050</xdr:rowOff>
    </xdr:to>
    <xdr:pic>
      <xdr:nvPicPr>
        <xdr:cNvPr id="37" name="Picture 4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74</xdr:row>
      <xdr:rowOff>38100</xdr:rowOff>
    </xdr:from>
    <xdr:to>
      <xdr:col>12</xdr:col>
      <xdr:colOff>400050</xdr:colOff>
      <xdr:row>74</xdr:row>
      <xdr:rowOff>400050</xdr:rowOff>
    </xdr:to>
    <xdr:pic>
      <xdr:nvPicPr>
        <xdr:cNvPr id="38" name="Picture 4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72225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74</xdr:row>
      <xdr:rowOff>38100</xdr:rowOff>
    </xdr:from>
    <xdr:to>
      <xdr:col>3</xdr:col>
      <xdr:colOff>409575</xdr:colOff>
      <xdr:row>74</xdr:row>
      <xdr:rowOff>400050</xdr:rowOff>
    </xdr:to>
    <xdr:pic>
      <xdr:nvPicPr>
        <xdr:cNvPr id="39" name="Picture 5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352675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74</xdr:row>
      <xdr:rowOff>38100</xdr:rowOff>
    </xdr:from>
    <xdr:to>
      <xdr:col>4</xdr:col>
      <xdr:colOff>400050</xdr:colOff>
      <xdr:row>74</xdr:row>
      <xdr:rowOff>400050</xdr:rowOff>
    </xdr:to>
    <xdr:pic>
      <xdr:nvPicPr>
        <xdr:cNvPr id="40" name="Picture 5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90825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74</xdr:row>
      <xdr:rowOff>38100</xdr:rowOff>
    </xdr:from>
    <xdr:to>
      <xdr:col>5</xdr:col>
      <xdr:colOff>400050</xdr:colOff>
      <xdr:row>74</xdr:row>
      <xdr:rowOff>400050</xdr:rowOff>
    </xdr:to>
    <xdr:pic>
      <xdr:nvPicPr>
        <xdr:cNvPr id="41" name="Picture 5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38500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74</xdr:row>
      <xdr:rowOff>38100</xdr:rowOff>
    </xdr:from>
    <xdr:to>
      <xdr:col>6</xdr:col>
      <xdr:colOff>400050</xdr:colOff>
      <xdr:row>74</xdr:row>
      <xdr:rowOff>400050</xdr:rowOff>
    </xdr:to>
    <xdr:pic>
      <xdr:nvPicPr>
        <xdr:cNvPr id="42" name="Picture 5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686175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74</xdr:row>
      <xdr:rowOff>38100</xdr:rowOff>
    </xdr:from>
    <xdr:to>
      <xdr:col>7</xdr:col>
      <xdr:colOff>400050</xdr:colOff>
      <xdr:row>74</xdr:row>
      <xdr:rowOff>400050</xdr:rowOff>
    </xdr:to>
    <xdr:pic>
      <xdr:nvPicPr>
        <xdr:cNvPr id="43" name="Picture 5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133850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74</xdr:row>
      <xdr:rowOff>38100</xdr:rowOff>
    </xdr:from>
    <xdr:to>
      <xdr:col>8</xdr:col>
      <xdr:colOff>409575</xdr:colOff>
      <xdr:row>74</xdr:row>
      <xdr:rowOff>400050</xdr:rowOff>
    </xdr:to>
    <xdr:pic>
      <xdr:nvPicPr>
        <xdr:cNvPr id="44" name="Picture 5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91050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74</xdr:row>
      <xdr:rowOff>38100</xdr:rowOff>
    </xdr:from>
    <xdr:to>
      <xdr:col>10</xdr:col>
      <xdr:colOff>409575</xdr:colOff>
      <xdr:row>74</xdr:row>
      <xdr:rowOff>400050</xdr:rowOff>
    </xdr:to>
    <xdr:pic>
      <xdr:nvPicPr>
        <xdr:cNvPr id="45" name="Picture 5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486400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74</xdr:row>
      <xdr:rowOff>38100</xdr:rowOff>
    </xdr:from>
    <xdr:to>
      <xdr:col>9</xdr:col>
      <xdr:colOff>400050</xdr:colOff>
      <xdr:row>74</xdr:row>
      <xdr:rowOff>400050</xdr:rowOff>
    </xdr:to>
    <xdr:pic>
      <xdr:nvPicPr>
        <xdr:cNvPr id="46" name="Picture 57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029200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74</xdr:row>
      <xdr:rowOff>38100</xdr:rowOff>
    </xdr:from>
    <xdr:to>
      <xdr:col>11</xdr:col>
      <xdr:colOff>390525</xdr:colOff>
      <xdr:row>74</xdr:row>
      <xdr:rowOff>400050</xdr:rowOff>
    </xdr:to>
    <xdr:pic>
      <xdr:nvPicPr>
        <xdr:cNvPr id="47" name="Picture 5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915025" y="14649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78</xdr:row>
      <xdr:rowOff>95250</xdr:rowOff>
    </xdr:from>
    <xdr:to>
      <xdr:col>1</xdr:col>
      <xdr:colOff>371475</xdr:colOff>
      <xdr:row>78</xdr:row>
      <xdr:rowOff>381000</xdr:rowOff>
    </xdr:to>
    <xdr:pic>
      <xdr:nvPicPr>
        <xdr:cNvPr id="48" name="Picture 5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4800" y="171831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79</xdr:row>
      <xdr:rowOff>85725</xdr:rowOff>
    </xdr:from>
    <xdr:to>
      <xdr:col>1</xdr:col>
      <xdr:colOff>371475</xdr:colOff>
      <xdr:row>79</xdr:row>
      <xdr:rowOff>371475</xdr:rowOff>
    </xdr:to>
    <xdr:pic>
      <xdr:nvPicPr>
        <xdr:cNvPr id="49" name="Picture 6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4800" y="17630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77</xdr:row>
      <xdr:rowOff>76200</xdr:rowOff>
    </xdr:from>
    <xdr:to>
      <xdr:col>1</xdr:col>
      <xdr:colOff>371475</xdr:colOff>
      <xdr:row>77</xdr:row>
      <xdr:rowOff>361950</xdr:rowOff>
    </xdr:to>
    <xdr:pic>
      <xdr:nvPicPr>
        <xdr:cNvPr id="50" name="Picture 6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4800" y="16706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80</xdr:row>
      <xdr:rowOff>104775</xdr:rowOff>
    </xdr:from>
    <xdr:to>
      <xdr:col>1</xdr:col>
      <xdr:colOff>381000</xdr:colOff>
      <xdr:row>80</xdr:row>
      <xdr:rowOff>390525</xdr:rowOff>
    </xdr:to>
    <xdr:pic>
      <xdr:nvPicPr>
        <xdr:cNvPr id="51" name="Picture 6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14325" y="18107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82</xdr:row>
      <xdr:rowOff>95250</xdr:rowOff>
    </xdr:from>
    <xdr:to>
      <xdr:col>1</xdr:col>
      <xdr:colOff>371475</xdr:colOff>
      <xdr:row>82</xdr:row>
      <xdr:rowOff>381000</xdr:rowOff>
    </xdr:to>
    <xdr:pic>
      <xdr:nvPicPr>
        <xdr:cNvPr id="52" name="Picture 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4800" y="19011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81</xdr:row>
      <xdr:rowOff>85725</xdr:rowOff>
    </xdr:from>
    <xdr:to>
      <xdr:col>1</xdr:col>
      <xdr:colOff>371475</xdr:colOff>
      <xdr:row>81</xdr:row>
      <xdr:rowOff>371475</xdr:rowOff>
    </xdr:to>
    <xdr:pic>
      <xdr:nvPicPr>
        <xdr:cNvPr id="53" name="Picture 6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" y="185451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76</xdr:row>
      <xdr:rowOff>95250</xdr:rowOff>
    </xdr:from>
    <xdr:to>
      <xdr:col>1</xdr:col>
      <xdr:colOff>371475</xdr:colOff>
      <xdr:row>76</xdr:row>
      <xdr:rowOff>381000</xdr:rowOff>
    </xdr:to>
    <xdr:pic>
      <xdr:nvPicPr>
        <xdr:cNvPr id="54" name="Picture 6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4800" y="16268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75</xdr:row>
      <xdr:rowOff>85725</xdr:rowOff>
    </xdr:from>
    <xdr:to>
      <xdr:col>1</xdr:col>
      <xdr:colOff>361950</xdr:colOff>
      <xdr:row>75</xdr:row>
      <xdr:rowOff>371475</xdr:rowOff>
    </xdr:to>
    <xdr:pic>
      <xdr:nvPicPr>
        <xdr:cNvPr id="55" name="Picture 6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5275" y="158019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74</xdr:row>
      <xdr:rowOff>38100</xdr:rowOff>
    </xdr:from>
    <xdr:to>
      <xdr:col>13</xdr:col>
      <xdr:colOff>390525</xdr:colOff>
      <xdr:row>74</xdr:row>
      <xdr:rowOff>371475</xdr:rowOff>
    </xdr:to>
    <xdr:pic>
      <xdr:nvPicPr>
        <xdr:cNvPr id="56" name="Picture 69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838950" y="146494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74</xdr:row>
      <xdr:rowOff>219075</xdr:rowOff>
    </xdr:from>
    <xdr:to>
      <xdr:col>16</xdr:col>
      <xdr:colOff>247650</xdr:colOff>
      <xdr:row>75</xdr:row>
      <xdr:rowOff>314325</xdr:rowOff>
    </xdr:to>
    <xdr:sp>
      <xdr:nvSpPr>
        <xdr:cNvPr id="57" name="Line 70"/>
        <xdr:cNvSpPr>
          <a:spLocks/>
        </xdr:cNvSpPr>
      </xdr:nvSpPr>
      <xdr:spPr>
        <a:xfrm flipV="1">
          <a:off x="7267575" y="14830425"/>
          <a:ext cx="1104900" cy="1200150"/>
        </a:xfrm>
        <a:prstGeom prst="line">
          <a:avLst/>
        </a:prstGeom>
        <a:noFill/>
        <a:ln w="19050" cmpd="sng">
          <a:solidFill>
            <a:srgbClr val="0066CC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43</xdr:row>
      <xdr:rowOff>19050</xdr:rowOff>
    </xdr:from>
    <xdr:to>
      <xdr:col>16</xdr:col>
      <xdr:colOff>247650</xdr:colOff>
      <xdr:row>74</xdr:row>
      <xdr:rowOff>228600</xdr:rowOff>
    </xdr:to>
    <xdr:sp>
      <xdr:nvSpPr>
        <xdr:cNvPr id="58" name="Line 71"/>
        <xdr:cNvSpPr>
          <a:spLocks/>
        </xdr:cNvSpPr>
      </xdr:nvSpPr>
      <xdr:spPr>
        <a:xfrm flipV="1">
          <a:off x="8372475" y="11049000"/>
          <a:ext cx="0" cy="3790950"/>
        </a:xfrm>
        <a:prstGeom prst="line">
          <a:avLst/>
        </a:prstGeom>
        <a:noFill/>
        <a:ln w="19050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76200</xdr:colOff>
      <xdr:row>10</xdr:row>
      <xdr:rowOff>47625</xdr:rowOff>
    </xdr:from>
    <xdr:to>
      <xdr:col>14</xdr:col>
      <xdr:colOff>361950</xdr:colOff>
      <xdr:row>10</xdr:row>
      <xdr:rowOff>342900</xdr:rowOff>
    </xdr:to>
    <xdr:pic>
      <xdr:nvPicPr>
        <xdr:cNvPr id="59" name="Picture 8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305675" y="382905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47</xdr:row>
      <xdr:rowOff>152400</xdr:rowOff>
    </xdr:from>
    <xdr:to>
      <xdr:col>16</xdr:col>
      <xdr:colOff>247650</xdr:colOff>
      <xdr:row>47</xdr:row>
      <xdr:rowOff>152400</xdr:rowOff>
    </xdr:to>
    <xdr:sp>
      <xdr:nvSpPr>
        <xdr:cNvPr id="60" name="Line 87"/>
        <xdr:cNvSpPr>
          <a:spLocks/>
        </xdr:cNvSpPr>
      </xdr:nvSpPr>
      <xdr:spPr>
        <a:xfrm>
          <a:off x="7953375" y="11849100"/>
          <a:ext cx="419100" cy="0"/>
        </a:xfrm>
        <a:prstGeom prst="line">
          <a:avLst/>
        </a:prstGeom>
        <a:noFill/>
        <a:ln w="19050" cmpd="sng">
          <a:solidFill>
            <a:srgbClr val="0066CC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43</xdr:row>
      <xdr:rowOff>28575</xdr:rowOff>
    </xdr:from>
    <xdr:to>
      <xdr:col>16</xdr:col>
      <xdr:colOff>247650</xdr:colOff>
      <xdr:row>43</xdr:row>
      <xdr:rowOff>28575</xdr:rowOff>
    </xdr:to>
    <xdr:sp>
      <xdr:nvSpPr>
        <xdr:cNvPr id="61" name="Line 88"/>
        <xdr:cNvSpPr>
          <a:spLocks/>
        </xdr:cNvSpPr>
      </xdr:nvSpPr>
      <xdr:spPr>
        <a:xfrm>
          <a:off x="7953375" y="11058525"/>
          <a:ext cx="419100" cy="0"/>
        </a:xfrm>
        <a:prstGeom prst="line">
          <a:avLst/>
        </a:prstGeom>
        <a:noFill/>
        <a:ln w="19050" cmpd="sng">
          <a:solidFill>
            <a:srgbClr val="0066CC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10</xdr:row>
      <xdr:rowOff>76200</xdr:rowOff>
    </xdr:from>
    <xdr:to>
      <xdr:col>1</xdr:col>
      <xdr:colOff>1066800</xdr:colOff>
      <xdr:row>10</xdr:row>
      <xdr:rowOff>1095375</xdr:rowOff>
    </xdr:to>
    <xdr:pic>
      <xdr:nvPicPr>
        <xdr:cNvPr id="62" name="Picture 9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04800" y="3857625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83</xdr:row>
      <xdr:rowOff>85725</xdr:rowOff>
    </xdr:from>
    <xdr:to>
      <xdr:col>1</xdr:col>
      <xdr:colOff>895350</xdr:colOff>
      <xdr:row>83</xdr:row>
      <xdr:rowOff>371475</xdr:rowOff>
    </xdr:to>
    <xdr:pic>
      <xdr:nvPicPr>
        <xdr:cNvPr id="63" name="Picture 9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28675" y="1945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83</xdr:row>
      <xdr:rowOff>85725</xdr:rowOff>
    </xdr:from>
    <xdr:to>
      <xdr:col>1</xdr:col>
      <xdr:colOff>295275</xdr:colOff>
      <xdr:row>83</xdr:row>
      <xdr:rowOff>371475</xdr:rowOff>
    </xdr:to>
    <xdr:pic>
      <xdr:nvPicPr>
        <xdr:cNvPr id="64" name="Picture 9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8600" y="1945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83</xdr:row>
      <xdr:rowOff>85725</xdr:rowOff>
    </xdr:from>
    <xdr:to>
      <xdr:col>1</xdr:col>
      <xdr:colOff>590550</xdr:colOff>
      <xdr:row>83</xdr:row>
      <xdr:rowOff>371475</xdr:rowOff>
    </xdr:to>
    <xdr:pic>
      <xdr:nvPicPr>
        <xdr:cNvPr id="65" name="Picture 9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3875" y="1945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83</xdr:row>
      <xdr:rowOff>85725</xdr:rowOff>
    </xdr:from>
    <xdr:to>
      <xdr:col>1</xdr:col>
      <xdr:colOff>1200150</xdr:colOff>
      <xdr:row>83</xdr:row>
      <xdr:rowOff>371475</xdr:rowOff>
    </xdr:to>
    <xdr:pic>
      <xdr:nvPicPr>
        <xdr:cNvPr id="66" name="Picture 9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33475" y="1945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</xdr:row>
      <xdr:rowOff>0</xdr:rowOff>
    </xdr:from>
    <xdr:to>
      <xdr:col>8</xdr:col>
      <xdr:colOff>161925</xdr:colOff>
      <xdr:row>4</xdr:row>
      <xdr:rowOff>342900</xdr:rowOff>
    </xdr:to>
    <xdr:sp>
      <xdr:nvSpPr>
        <xdr:cNvPr id="67" name="AutoShape 109"/>
        <xdr:cNvSpPr>
          <a:spLocks/>
        </xdr:cNvSpPr>
      </xdr:nvSpPr>
      <xdr:spPr>
        <a:xfrm>
          <a:off x="3143250" y="1790700"/>
          <a:ext cx="1562100" cy="342900"/>
        </a:xfrm>
        <a:prstGeom prst="accentCallout2">
          <a:avLst>
            <a:gd name="adj1" fmla="val -75000"/>
            <a:gd name="adj2" fmla="val -97222"/>
            <a:gd name="adj3" fmla="val -65851"/>
            <a:gd name="adj4" fmla="val -16666"/>
            <a:gd name="adj5" fmla="val -54879"/>
            <a:gd name="adj6" fmla="val -16666"/>
            <a:gd name="adj7" fmla="val -95731"/>
            <a:gd name="adj8" fmla="val -119444"/>
          </a:avLst>
        </a:prstGeom>
        <a:solidFill>
          <a:srgbClr val="CCFFCC"/>
        </a:solidFill>
        <a:ln w="19050" cmpd="sng">
          <a:solidFill>
            <a:srgbClr val="0066CC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Remplir uniquement la case de votre classe</a:t>
          </a:r>
        </a:p>
      </xdr:txBody>
    </xdr:sp>
    <xdr:clientData/>
  </xdr:twoCellAnchor>
  <xdr:twoCellAnchor>
    <xdr:from>
      <xdr:col>4</xdr:col>
      <xdr:colOff>104775</xdr:colOff>
      <xdr:row>4</xdr:row>
      <xdr:rowOff>552450</xdr:rowOff>
    </xdr:from>
    <xdr:to>
      <xdr:col>7</xdr:col>
      <xdr:colOff>238125</xdr:colOff>
      <xdr:row>4</xdr:row>
      <xdr:rowOff>895350</xdr:rowOff>
    </xdr:to>
    <xdr:sp>
      <xdr:nvSpPr>
        <xdr:cNvPr id="68" name="AutoShape 110"/>
        <xdr:cNvSpPr>
          <a:spLocks/>
        </xdr:cNvSpPr>
      </xdr:nvSpPr>
      <xdr:spPr>
        <a:xfrm>
          <a:off x="2857500" y="2343150"/>
          <a:ext cx="1476375" cy="342900"/>
        </a:xfrm>
        <a:prstGeom prst="accentCallout2">
          <a:avLst>
            <a:gd name="adj1" fmla="val 93226"/>
            <a:gd name="adj2" fmla="val 177777"/>
            <a:gd name="adj3" fmla="val 68708"/>
            <a:gd name="adj4" fmla="val -16666"/>
            <a:gd name="adj5" fmla="val 55162"/>
            <a:gd name="adj6" fmla="val -16666"/>
            <a:gd name="adj7" fmla="val 105486"/>
            <a:gd name="adj8" fmla="val -69444"/>
          </a:avLst>
        </a:prstGeom>
        <a:solidFill>
          <a:srgbClr val="CCFFCC"/>
        </a:solidFill>
        <a:ln w="19050" cmpd="sng">
          <a:solidFill>
            <a:srgbClr val="0066CC"/>
          </a:solidFill>
          <a:headEnd type="stealth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Compléter avec le niveau de vos métiers</a:t>
          </a:r>
        </a:p>
      </xdr:txBody>
    </xdr:sp>
    <xdr:clientData/>
  </xdr:twoCellAnchor>
  <xdr:twoCellAnchor>
    <xdr:from>
      <xdr:col>4</xdr:col>
      <xdr:colOff>47625</xdr:colOff>
      <xdr:row>4</xdr:row>
      <xdr:rowOff>1057275</xdr:rowOff>
    </xdr:from>
    <xdr:to>
      <xdr:col>8</xdr:col>
      <xdr:colOff>28575</xdr:colOff>
      <xdr:row>6</xdr:row>
      <xdr:rowOff>76200</xdr:rowOff>
    </xdr:to>
    <xdr:sp>
      <xdr:nvSpPr>
        <xdr:cNvPr id="69" name="AutoShape 111"/>
        <xdr:cNvSpPr>
          <a:spLocks/>
        </xdr:cNvSpPr>
      </xdr:nvSpPr>
      <xdr:spPr>
        <a:xfrm>
          <a:off x="2800350" y="2847975"/>
          <a:ext cx="1771650" cy="352425"/>
        </a:xfrm>
        <a:prstGeom prst="accentCallout2">
          <a:avLst>
            <a:gd name="adj1" fmla="val -76879"/>
            <a:gd name="adj2" fmla="val 25675"/>
            <a:gd name="adj3" fmla="val -72041"/>
            <a:gd name="adj4" fmla="val -17569"/>
            <a:gd name="adj5" fmla="val -54300"/>
            <a:gd name="adj6" fmla="val -17569"/>
            <a:gd name="adj7" fmla="val -76342"/>
            <a:gd name="adj8" fmla="val -9458"/>
          </a:avLst>
        </a:prstGeom>
        <a:solidFill>
          <a:srgbClr val="CCFFCC"/>
        </a:solidFill>
        <a:ln w="19050" cmpd="sng">
          <a:solidFill>
            <a:srgbClr val="0066CC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Remplir uniquement la case de votre spécialité d'alignement</a:t>
          </a:r>
        </a:p>
      </xdr:txBody>
    </xdr:sp>
    <xdr:clientData/>
  </xdr:twoCellAnchor>
  <xdr:twoCellAnchor>
    <xdr:from>
      <xdr:col>3</xdr:col>
      <xdr:colOff>104775</xdr:colOff>
      <xdr:row>7</xdr:row>
      <xdr:rowOff>123825</xdr:rowOff>
    </xdr:from>
    <xdr:to>
      <xdr:col>8</xdr:col>
      <xdr:colOff>76200</xdr:colOff>
      <xdr:row>9</xdr:row>
      <xdr:rowOff>114300</xdr:rowOff>
    </xdr:to>
    <xdr:sp>
      <xdr:nvSpPr>
        <xdr:cNvPr id="70" name="AutoShape 112"/>
        <xdr:cNvSpPr>
          <a:spLocks/>
        </xdr:cNvSpPr>
      </xdr:nvSpPr>
      <xdr:spPr>
        <a:xfrm>
          <a:off x="2409825" y="3409950"/>
          <a:ext cx="2209800" cy="314325"/>
        </a:xfrm>
        <a:prstGeom prst="accentCallout2">
          <a:avLst>
            <a:gd name="adj1" fmla="val 66379"/>
            <a:gd name="adj2" fmla="val 65152"/>
            <a:gd name="adj3" fmla="val 60342"/>
            <a:gd name="adj4" fmla="val -13634"/>
            <a:gd name="adj5" fmla="val 53449"/>
            <a:gd name="adj6" fmla="val -13634"/>
            <a:gd name="adj7" fmla="val -1291"/>
            <a:gd name="adj8" fmla="val -107574"/>
          </a:avLst>
        </a:prstGeom>
        <a:solidFill>
          <a:srgbClr val="CCFFCC"/>
        </a:solidFill>
        <a:ln w="19050" cmpd="sng">
          <a:solidFill>
            <a:srgbClr val="0066CC"/>
          </a:solidFill>
          <a:headEnd type="stealth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Compléter à partir des caractéristiques de votre équipement</a:t>
          </a:r>
        </a:p>
      </xdr:txBody>
    </xdr:sp>
    <xdr:clientData/>
  </xdr:twoCellAnchor>
  <xdr:twoCellAnchor>
    <xdr:from>
      <xdr:col>2</xdr:col>
      <xdr:colOff>180975</xdr:colOff>
      <xdr:row>84</xdr:row>
      <xdr:rowOff>152400</xdr:rowOff>
    </xdr:from>
    <xdr:to>
      <xdr:col>12</xdr:col>
      <xdr:colOff>314325</xdr:colOff>
      <xdr:row>96</xdr:row>
      <xdr:rowOff>342900</xdr:rowOff>
    </xdr:to>
    <xdr:sp>
      <xdr:nvSpPr>
        <xdr:cNvPr id="71" name="AutoShape 113"/>
        <xdr:cNvSpPr>
          <a:spLocks/>
        </xdr:cNvSpPr>
      </xdr:nvSpPr>
      <xdr:spPr>
        <a:xfrm>
          <a:off x="2038350" y="19983450"/>
          <a:ext cx="4610100" cy="352425"/>
        </a:xfrm>
        <a:prstGeom prst="accentCallout2">
          <a:avLst>
            <a:gd name="adj1" fmla="val 58263"/>
            <a:gd name="adj2" fmla="val -93245"/>
            <a:gd name="adj3" fmla="val 57231"/>
            <a:gd name="adj4" fmla="val -17569"/>
            <a:gd name="adj5" fmla="val 51652"/>
            <a:gd name="adj6" fmla="val -17569"/>
            <a:gd name="adj7" fmla="val 16527"/>
            <a:gd name="adj8" fmla="val -6754"/>
          </a:avLst>
        </a:prstGeom>
        <a:solidFill>
          <a:srgbClr val="CCFFCC"/>
        </a:solidFill>
        <a:ln w="19050" cmpd="sng">
          <a:solidFill>
            <a:srgbClr val="0066CC"/>
          </a:solidFill>
          <a:headEnd type="stealth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le niveau de votre maitrise de l'arme ne remplissez qu'une seule case sur la colonne. Et marquez 0 sur la ligne de votre arme si vous n'avez pas de maitrise.</a:t>
          </a:r>
        </a:p>
      </xdr:txBody>
    </xdr:sp>
    <xdr:clientData/>
  </xdr:twoCellAnchor>
  <xdr:twoCellAnchor editAs="oneCell">
    <xdr:from>
      <xdr:col>13</xdr:col>
      <xdr:colOff>66675</xdr:colOff>
      <xdr:row>1</xdr:row>
      <xdr:rowOff>66675</xdr:rowOff>
    </xdr:from>
    <xdr:to>
      <xdr:col>15</xdr:col>
      <xdr:colOff>390525</xdr:colOff>
      <xdr:row>1</xdr:row>
      <xdr:rowOff>1285875</xdr:rowOff>
    </xdr:to>
    <xdr:pic>
      <xdr:nvPicPr>
        <xdr:cNvPr id="72" name="Picture 11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848475" y="2190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RowColHeader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.28125" style="0" bestFit="1" customWidth="1"/>
    <col min="2" max="2" width="24.57421875" style="0" bestFit="1" customWidth="1"/>
    <col min="3" max="15" width="6.7109375" style="0" customWidth="1"/>
    <col min="16" max="16" width="6.7109375" style="8" customWidth="1"/>
    <col min="17" max="18" width="15.57421875" style="8" customWidth="1"/>
    <col min="19" max="19" width="10.57421875" style="8" hidden="1" customWidth="1"/>
    <col min="20" max="22" width="10.57421875" style="0" hidden="1" customWidth="1"/>
    <col min="23" max="23" width="3.28125" style="0" hidden="1" customWidth="1"/>
    <col min="24" max="26" width="11.57421875" style="0" hidden="1" customWidth="1"/>
    <col min="27" max="27" width="5.7109375" style="0" hidden="1" customWidth="1"/>
    <col min="28" max="28" width="5.7109375" style="0" customWidth="1"/>
    <col min="29" max="32" width="5.57421875" style="0" customWidth="1"/>
    <col min="33" max="40" width="5.7109375" style="0" customWidth="1"/>
  </cols>
  <sheetData>
    <row r="1" spans="1:15" ht="12" customHeight="1" thickBot="1">
      <c r="A1" s="40"/>
      <c r="B1" s="40"/>
      <c r="C1" s="211" t="s">
        <v>1</v>
      </c>
      <c r="N1" s="214"/>
      <c r="O1" s="40"/>
    </row>
    <row r="2" spans="1:21" s="1" customFormat="1" ht="103.5" customHeight="1" thickBot="1">
      <c r="A2" s="39"/>
      <c r="B2" s="133" t="s">
        <v>111</v>
      </c>
      <c r="C2" s="41" t="s">
        <v>67</v>
      </c>
      <c r="D2" s="41" t="s">
        <v>68</v>
      </c>
      <c r="E2" s="41" t="s">
        <v>69</v>
      </c>
      <c r="F2" s="41" t="s">
        <v>70</v>
      </c>
      <c r="G2" s="41" t="s">
        <v>71</v>
      </c>
      <c r="H2" s="41" t="s">
        <v>72</v>
      </c>
      <c r="I2" s="41" t="s">
        <v>73</v>
      </c>
      <c r="J2" s="41" t="s">
        <v>74</v>
      </c>
      <c r="K2" s="41" t="s">
        <v>75</v>
      </c>
      <c r="L2" s="41" t="s">
        <v>76</v>
      </c>
      <c r="M2" s="42" t="s">
        <v>77</v>
      </c>
      <c r="N2" s="187"/>
      <c r="O2" s="187"/>
      <c r="P2" s="213"/>
      <c r="Q2" s="9"/>
      <c r="R2" s="9"/>
      <c r="S2" s="224" t="s">
        <v>116</v>
      </c>
      <c r="T2" s="224"/>
      <c r="U2" s="224"/>
    </row>
    <row r="3" spans="2:22" ht="12.75" customHeight="1" thickBot="1">
      <c r="B3" s="135" t="s">
        <v>78</v>
      </c>
      <c r="C3" s="141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86"/>
      <c r="O3" s="186"/>
      <c r="P3" s="212" t="s">
        <v>97</v>
      </c>
      <c r="Q3" s="130"/>
      <c r="R3" s="130"/>
      <c r="S3" s="118">
        <f>SUM(C3:M3)</f>
        <v>0</v>
      </c>
      <c r="T3" s="117">
        <f>S3-100</f>
        <v>-100</v>
      </c>
      <c r="U3" s="163">
        <f>IF(T3&gt;0,T3*10,0)</f>
        <v>0</v>
      </c>
      <c r="V3" s="101"/>
    </row>
    <row r="4" spans="2:22" ht="12.75" customHeight="1" thickBot="1"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94" t="s">
        <v>128</v>
      </c>
      <c r="O4" s="294"/>
      <c r="P4" s="294"/>
      <c r="Q4" s="130"/>
      <c r="R4" s="130"/>
      <c r="S4" s="206"/>
      <c r="T4" s="102"/>
      <c r="U4" s="207"/>
      <c r="V4" s="101"/>
    </row>
    <row r="5" spans="2:22" s="8" customFormat="1" ht="92.25" customHeight="1" thickBot="1">
      <c r="B5" s="123" t="s">
        <v>2</v>
      </c>
      <c r="C5" s="208" t="s">
        <v>10</v>
      </c>
      <c r="D5" s="147"/>
      <c r="E5" s="307"/>
      <c r="F5" s="307"/>
      <c r="G5" s="307"/>
      <c r="H5" s="300"/>
      <c r="I5" s="306"/>
      <c r="J5" s="295" t="s">
        <v>3</v>
      </c>
      <c r="K5" s="296"/>
      <c r="L5" s="297"/>
      <c r="M5" s="208" t="s">
        <v>10</v>
      </c>
      <c r="N5" s="294"/>
      <c r="O5" s="294"/>
      <c r="P5" s="294"/>
      <c r="Q5" s="174"/>
      <c r="R5" s="174"/>
      <c r="S5" s="206"/>
      <c r="T5" s="102" t="s">
        <v>7</v>
      </c>
      <c r="U5" s="102"/>
      <c r="V5" s="102"/>
    </row>
    <row r="6" spans="2:22" ht="12.75" customHeight="1">
      <c r="B6" s="136" t="s">
        <v>113</v>
      </c>
      <c r="C6" s="51"/>
      <c r="D6" s="140"/>
      <c r="E6" s="300"/>
      <c r="F6" s="300"/>
      <c r="G6" s="300"/>
      <c r="H6" s="186"/>
      <c r="I6" s="186"/>
      <c r="J6" s="298" t="s">
        <v>4</v>
      </c>
      <c r="K6" s="299"/>
      <c r="L6" s="299"/>
      <c r="M6" s="72">
        <v>0</v>
      </c>
      <c r="N6" s="209" t="s">
        <v>129</v>
      </c>
      <c r="O6" s="205"/>
      <c r="P6" s="205"/>
      <c r="Q6" s="10"/>
      <c r="R6" s="10"/>
      <c r="T6" s="101">
        <f>IF(M6=100,1000,0)</f>
        <v>0</v>
      </c>
      <c r="U6" s="101"/>
      <c r="V6" s="101"/>
    </row>
    <row r="7" spans="2:22" ht="12.75" customHeight="1">
      <c r="B7" s="134" t="s">
        <v>112</v>
      </c>
      <c r="C7" s="66"/>
      <c r="D7" s="140"/>
      <c r="E7" s="300"/>
      <c r="F7" s="300"/>
      <c r="G7" s="300"/>
      <c r="H7" s="186"/>
      <c r="I7" s="186"/>
      <c r="J7" s="302" t="s">
        <v>5</v>
      </c>
      <c r="K7" s="303"/>
      <c r="L7" s="303"/>
      <c r="M7" s="66">
        <v>0</v>
      </c>
      <c r="N7" s="209" t="s">
        <v>130</v>
      </c>
      <c r="O7" s="205"/>
      <c r="P7" s="205"/>
      <c r="Q7" s="10"/>
      <c r="R7" s="10"/>
      <c r="T7" s="101">
        <f>IF(M7=100,1000,0)</f>
        <v>0</v>
      </c>
      <c r="U7" s="101"/>
      <c r="V7" s="101"/>
    </row>
    <row r="8" spans="2:22" ht="12.75" customHeight="1" thickBot="1">
      <c r="B8" s="135" t="s">
        <v>114</v>
      </c>
      <c r="C8" s="57"/>
      <c r="D8" s="140"/>
      <c r="E8" s="140"/>
      <c r="F8" s="186"/>
      <c r="G8" s="186"/>
      <c r="H8" s="186"/>
      <c r="I8" s="186"/>
      <c r="J8" s="304" t="s">
        <v>6</v>
      </c>
      <c r="K8" s="305"/>
      <c r="L8" s="305"/>
      <c r="M8" s="57">
        <v>0</v>
      </c>
      <c r="N8" s="209" t="s">
        <v>131</v>
      </c>
      <c r="O8" s="188"/>
      <c r="P8" s="189"/>
      <c r="Q8" s="10"/>
      <c r="R8" s="10"/>
      <c r="T8" s="101">
        <f>IF(M8=100,1000,0)</f>
        <v>0</v>
      </c>
      <c r="U8" s="101"/>
      <c r="V8" s="101"/>
    </row>
    <row r="9" spans="2:22" ht="12.75" customHeight="1">
      <c r="B9" s="139"/>
      <c r="C9" s="140"/>
      <c r="D9" s="140"/>
      <c r="E9" s="186"/>
      <c r="F9" s="300"/>
      <c r="G9" s="300"/>
      <c r="H9" s="300"/>
      <c r="I9" s="300"/>
      <c r="J9" s="300"/>
      <c r="K9" s="140"/>
      <c r="L9" s="140"/>
      <c r="M9" s="140"/>
      <c r="N9" s="186"/>
      <c r="O9" s="188"/>
      <c r="P9" s="189"/>
      <c r="Q9" s="10"/>
      <c r="R9" s="10"/>
      <c r="T9" s="101"/>
      <c r="U9" s="101"/>
      <c r="V9" s="101"/>
    </row>
    <row r="10" spans="2:27" ht="13.5" thickBot="1">
      <c r="B10" s="186"/>
      <c r="C10" s="186"/>
      <c r="D10" s="147"/>
      <c r="E10" s="186"/>
      <c r="F10" s="301"/>
      <c r="G10" s="301"/>
      <c r="H10" s="301"/>
      <c r="I10" s="301"/>
      <c r="J10" s="301"/>
      <c r="K10" s="186"/>
      <c r="L10" s="186"/>
      <c r="M10" s="186"/>
      <c r="N10" s="186"/>
      <c r="O10" s="186"/>
      <c r="P10" s="139"/>
      <c r="S10" s="102" t="s">
        <v>121</v>
      </c>
      <c r="U10" s="101"/>
      <c r="V10" s="101"/>
      <c r="X10" s="137" t="s">
        <v>113</v>
      </c>
      <c r="Y10" s="137" t="s">
        <v>112</v>
      </c>
      <c r="Z10" s="137" t="s">
        <v>114</v>
      </c>
      <c r="AA10" s="132"/>
    </row>
    <row r="11" spans="1:27" s="1" customFormat="1" ht="109.5" customHeight="1" thickBot="1">
      <c r="A11" s="13"/>
      <c r="B11" s="123" t="s">
        <v>43</v>
      </c>
      <c r="C11" s="165" t="s">
        <v>16</v>
      </c>
      <c r="D11" s="43" t="s">
        <v>17</v>
      </c>
      <c r="E11" s="43" t="s">
        <v>58</v>
      </c>
      <c r="F11" s="43" t="s">
        <v>59</v>
      </c>
      <c r="G11" s="43" t="s">
        <v>18</v>
      </c>
      <c r="H11" s="43" t="s">
        <v>19</v>
      </c>
      <c r="I11" s="43" t="s">
        <v>20</v>
      </c>
      <c r="J11" s="43" t="s">
        <v>21</v>
      </c>
      <c r="K11" s="43" t="s">
        <v>22</v>
      </c>
      <c r="L11" s="43" t="s">
        <v>23</v>
      </c>
      <c r="M11" s="43" t="s">
        <v>107</v>
      </c>
      <c r="N11" s="183" t="s">
        <v>98</v>
      </c>
      <c r="O11" s="184" t="s">
        <v>123</v>
      </c>
      <c r="P11" s="185" t="s">
        <v>35</v>
      </c>
      <c r="Q11" s="175"/>
      <c r="R11" s="175"/>
      <c r="S11" s="9"/>
      <c r="T11" s="145" t="s">
        <v>79</v>
      </c>
      <c r="U11" s="146" t="s">
        <v>66</v>
      </c>
      <c r="V11" s="164">
        <f>IF(SUM(V12:V22)&lt;50,SUM(V12:V22))</f>
        <v>0</v>
      </c>
      <c r="W11" s="105"/>
      <c r="X11" s="118">
        <f>IF(C6&lt;&gt;"",1,0)</f>
        <v>0</v>
      </c>
      <c r="Y11" s="118">
        <f>IF(C7&lt;&gt;"",1,0)</f>
        <v>0</v>
      </c>
      <c r="Z11" s="118">
        <f>IF(C8&lt;&gt;"",1,0)</f>
        <v>0</v>
      </c>
      <c r="AA11" s="210" t="s">
        <v>117</v>
      </c>
    </row>
    <row r="12" spans="1:27" ht="12.75" customHeight="1">
      <c r="A12" s="245"/>
      <c r="B12" s="17" t="s">
        <v>48</v>
      </c>
      <c r="C12" s="166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1"/>
      <c r="P12" s="44">
        <f>SUM(C12:O12,AA12)</f>
        <v>0</v>
      </c>
      <c r="Q12" s="176"/>
      <c r="R12" s="176"/>
      <c r="S12" s="10"/>
      <c r="T12" s="145" t="s">
        <v>67</v>
      </c>
      <c r="U12" s="145">
        <v>44</v>
      </c>
      <c r="V12" s="145">
        <f>IF(C3&lt;&gt;"",U12,"")</f>
      </c>
      <c r="W12" s="104"/>
      <c r="X12" s="132"/>
      <c r="Y12" s="132"/>
      <c r="Z12" s="132"/>
      <c r="AA12" s="143">
        <f>X12*$X$11+Y12*$Y$11+Z12*$Z$11</f>
        <v>0</v>
      </c>
    </row>
    <row r="13" spans="1:27" ht="12.75">
      <c r="A13" s="245"/>
      <c r="B13" s="15" t="s">
        <v>49</v>
      </c>
      <c r="C13" s="80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4"/>
      <c r="P13" s="181">
        <f>SUM(C13:O13,AA13)</f>
        <v>0</v>
      </c>
      <c r="Q13" s="177"/>
      <c r="R13" s="177"/>
      <c r="S13" s="10"/>
      <c r="T13" s="145" t="s">
        <v>68</v>
      </c>
      <c r="U13" s="145">
        <v>46</v>
      </c>
      <c r="V13" s="145">
        <f>IF(D3&lt;&gt;"",U13,"")</f>
      </c>
      <c r="W13" s="103"/>
      <c r="X13" s="138"/>
      <c r="Y13" s="138"/>
      <c r="Z13" s="138"/>
      <c r="AA13" s="144">
        <f aca="true" t="shared" si="0" ref="AA13:AA37">X13*$X$11+Y13*$Y$11+Z13*$Z$11</f>
        <v>0</v>
      </c>
    </row>
    <row r="14" spans="1:27" ht="13.5" thickBot="1">
      <c r="A14" s="245"/>
      <c r="B14" s="18" t="s">
        <v>50</v>
      </c>
      <c r="C14" s="167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7"/>
      <c r="P14" s="46">
        <f>SUM(C14:O14,AA14)</f>
        <v>0</v>
      </c>
      <c r="Q14" s="176"/>
      <c r="R14" s="176"/>
      <c r="S14" s="10"/>
      <c r="T14" s="145" t="s">
        <v>69</v>
      </c>
      <c r="U14" s="145">
        <v>42</v>
      </c>
      <c r="V14" s="145">
        <f>IF(E3&lt;&gt;"",U14,"")</f>
      </c>
      <c r="W14" s="103"/>
      <c r="X14" s="132"/>
      <c r="Y14" s="132"/>
      <c r="Z14" s="132">
        <v>1</v>
      </c>
      <c r="AA14" s="143">
        <f t="shared" si="0"/>
        <v>0</v>
      </c>
    </row>
    <row r="15" spans="1:27" ht="12.75">
      <c r="A15" s="245"/>
      <c r="B15" s="4" t="s">
        <v>38</v>
      </c>
      <c r="C15" s="16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0"/>
      <c r="P15" s="182">
        <f>SUM(C15:O15)+AA15</f>
        <v>0</v>
      </c>
      <c r="Q15" s="177"/>
      <c r="R15" s="177"/>
      <c r="S15" s="10"/>
      <c r="T15" s="145" t="s">
        <v>70</v>
      </c>
      <c r="U15" s="145">
        <v>40</v>
      </c>
      <c r="V15" s="145">
        <f>IF(F3&lt;&gt;"",U15,"")</f>
      </c>
      <c r="W15" s="103"/>
      <c r="X15" s="138"/>
      <c r="Y15" s="138"/>
      <c r="Z15" s="138"/>
      <c r="AA15" s="143">
        <f t="shared" si="0"/>
        <v>0</v>
      </c>
    </row>
    <row r="16" spans="1:27" ht="12.75">
      <c r="A16" s="245"/>
      <c r="B16" s="2" t="s">
        <v>39</v>
      </c>
      <c r="C16" s="8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4"/>
      <c r="P16" s="45">
        <f>SUM(C16:O16)+AA16</f>
        <v>0</v>
      </c>
      <c r="Q16" s="177"/>
      <c r="R16" s="177"/>
      <c r="S16" s="10"/>
      <c r="T16" s="145" t="s">
        <v>80</v>
      </c>
      <c r="U16" s="145">
        <v>42</v>
      </c>
      <c r="V16" s="145">
        <f>IF(G3&lt;&gt;"",U16,"")</f>
      </c>
      <c r="W16" s="103"/>
      <c r="X16" s="138"/>
      <c r="Y16" s="138"/>
      <c r="Z16" s="138"/>
      <c r="AA16" s="143">
        <f t="shared" si="0"/>
        <v>0</v>
      </c>
    </row>
    <row r="17" spans="1:27" ht="12.75" customHeight="1">
      <c r="A17" s="245"/>
      <c r="B17" s="2" t="s">
        <v>40</v>
      </c>
      <c r="C17" s="8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4"/>
      <c r="P17" s="45">
        <f>SUM(C17:O17)+AA17</f>
        <v>0</v>
      </c>
      <c r="Q17" s="177"/>
      <c r="R17" s="177"/>
      <c r="S17" s="10"/>
      <c r="T17" s="145" t="s">
        <v>72</v>
      </c>
      <c r="U17" s="145">
        <v>48</v>
      </c>
      <c r="V17" s="145">
        <f>IF(H3&lt;&gt;"",U17,"")</f>
      </c>
      <c r="W17" s="103"/>
      <c r="X17" s="138"/>
      <c r="Y17" s="138">
        <v>0.02</v>
      </c>
      <c r="Z17" s="138"/>
      <c r="AA17" s="144">
        <f t="shared" si="0"/>
        <v>0</v>
      </c>
    </row>
    <row r="18" spans="1:27" ht="12.75">
      <c r="A18" s="245"/>
      <c r="B18" s="2" t="s">
        <v>41</v>
      </c>
      <c r="C18" s="80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4"/>
      <c r="P18" s="45">
        <f>SUM(C18:O18)+AA18</f>
        <v>0</v>
      </c>
      <c r="Q18" s="177"/>
      <c r="R18" s="177"/>
      <c r="S18" s="11"/>
      <c r="T18" s="145" t="s">
        <v>73</v>
      </c>
      <c r="U18" s="145">
        <v>42</v>
      </c>
      <c r="V18" s="145">
        <f>IF(I3&lt;&gt;"",U18,"")</f>
      </c>
      <c r="W18" s="103"/>
      <c r="X18" s="138"/>
      <c r="Y18" s="138">
        <v>0.02</v>
      </c>
      <c r="Z18" s="138"/>
      <c r="AA18" s="144">
        <f t="shared" si="0"/>
        <v>0</v>
      </c>
    </row>
    <row r="19" spans="1:27" ht="13.5" thickBot="1">
      <c r="A19" s="245"/>
      <c r="B19" s="3" t="s">
        <v>42</v>
      </c>
      <c r="C19" s="1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47">
        <f>SUM(C19:O19)+AA19</f>
        <v>0</v>
      </c>
      <c r="Q19" s="177"/>
      <c r="R19" s="177"/>
      <c r="S19" s="10"/>
      <c r="T19" s="145" t="s">
        <v>81</v>
      </c>
      <c r="U19" s="145">
        <v>42</v>
      </c>
      <c r="V19" s="145">
        <f>IF(J3&lt;&gt;"",U19,"")</f>
      </c>
      <c r="W19" s="103"/>
      <c r="X19" s="138"/>
      <c r="Y19" s="138">
        <v>0.02</v>
      </c>
      <c r="Z19" s="138"/>
      <c r="AA19" s="144">
        <f t="shared" si="0"/>
        <v>0</v>
      </c>
    </row>
    <row r="20" spans="1:27" ht="12.75" customHeight="1">
      <c r="A20" s="244"/>
      <c r="B20" s="4" t="s">
        <v>36</v>
      </c>
      <c r="C20" s="166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51"/>
      <c r="P20" s="44">
        <f>SUM(C20:O20,AA20)</f>
        <v>0</v>
      </c>
      <c r="Q20" s="176"/>
      <c r="R20" s="176"/>
      <c r="S20" s="10"/>
      <c r="T20" s="145" t="s">
        <v>76</v>
      </c>
      <c r="U20" s="145">
        <v>42</v>
      </c>
      <c r="V20" s="145">
        <f>IF(L3&lt;&gt;"",U20,"")</f>
      </c>
      <c r="W20" s="103"/>
      <c r="X20" s="132"/>
      <c r="Y20" s="132"/>
      <c r="Z20" s="132"/>
      <c r="AA20" s="143">
        <f t="shared" si="0"/>
        <v>0</v>
      </c>
    </row>
    <row r="21" spans="1:27" ht="13.5" thickBot="1">
      <c r="A21" s="244"/>
      <c r="B21" s="3" t="s">
        <v>37</v>
      </c>
      <c r="C21" s="16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/>
      <c r="P21" s="46">
        <f>SUM(C21:O21,AA21)</f>
        <v>0</v>
      </c>
      <c r="Q21" s="176"/>
      <c r="R21" s="176"/>
      <c r="S21" s="10"/>
      <c r="T21" s="145" t="s">
        <v>82</v>
      </c>
      <c r="U21" s="145">
        <v>42</v>
      </c>
      <c r="V21" s="145">
        <f>IF(M3&lt;&gt;"",U21,"")</f>
      </c>
      <c r="W21" s="103"/>
      <c r="X21" s="132"/>
      <c r="Y21" s="132"/>
      <c r="Z21" s="132"/>
      <c r="AA21" s="143">
        <f t="shared" si="0"/>
        <v>0</v>
      </c>
    </row>
    <row r="22" spans="1:41" ht="12.75">
      <c r="A22" s="245"/>
      <c r="B22" s="2" t="s">
        <v>120</v>
      </c>
      <c r="C22" s="75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71"/>
      <c r="O22" s="72"/>
      <c r="P22" s="44">
        <f>IF(SUM(C22:O22)+AA22&lt;0,0,SUM(C22:O22)+AA22)</f>
        <v>0</v>
      </c>
      <c r="Q22" s="176"/>
      <c r="R22" s="176"/>
      <c r="S22" s="10"/>
      <c r="T22" s="145" t="s">
        <v>75</v>
      </c>
      <c r="U22" s="145">
        <v>46</v>
      </c>
      <c r="V22" s="145">
        <f>IF(K3&lt;&gt;"",U22,"")</f>
      </c>
      <c r="W22" s="103"/>
      <c r="X22" s="132"/>
      <c r="Y22" s="132">
        <v>10</v>
      </c>
      <c r="Z22" s="132"/>
      <c r="AA22" s="143">
        <f t="shared" si="0"/>
        <v>0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>
      <c r="A23" s="245"/>
      <c r="B23" s="2" t="s">
        <v>122</v>
      </c>
      <c r="C23" s="162">
        <f>U3+V11</f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71"/>
      <c r="O23" s="72"/>
      <c r="P23" s="160">
        <f>SUM(C23:O23,P22,AA23)</f>
        <v>0</v>
      </c>
      <c r="Q23" s="176"/>
      <c r="R23" s="176"/>
      <c r="S23" s="10"/>
      <c r="T23" s="103"/>
      <c r="U23" s="103"/>
      <c r="V23" s="103"/>
      <c r="W23" s="103"/>
      <c r="X23" s="132"/>
      <c r="Y23" s="132"/>
      <c r="Z23" s="132"/>
      <c r="AA23" s="143">
        <f t="shared" si="0"/>
        <v>0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>
      <c r="A24" s="245"/>
      <c r="B24" s="2" t="s">
        <v>11</v>
      </c>
      <c r="C24" s="75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6"/>
      <c r="P24" s="48">
        <f aca="true" t="shared" si="1" ref="P24:P29">IF((SUM(C24:O24)+AA24)&lt;0,0,(SUM(C24:O24)+AA24))</f>
        <v>0</v>
      </c>
      <c r="Q24" s="176"/>
      <c r="R24" s="176"/>
      <c r="S24" s="10"/>
      <c r="T24" s="102"/>
      <c r="U24" s="101"/>
      <c r="V24" s="101"/>
      <c r="W24" s="103"/>
      <c r="X24" s="132"/>
      <c r="Y24" s="132"/>
      <c r="Z24" s="132"/>
      <c r="AA24" s="143">
        <f t="shared" si="0"/>
        <v>0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>
      <c r="A25" s="245"/>
      <c r="B25" s="2" t="s">
        <v>12</v>
      </c>
      <c r="C25" s="75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6"/>
      <c r="P25" s="48">
        <f t="shared" si="1"/>
        <v>0</v>
      </c>
      <c r="Q25" s="176"/>
      <c r="R25" s="176"/>
      <c r="S25" s="10"/>
      <c r="T25" s="102"/>
      <c r="U25" s="106"/>
      <c r="V25" s="102"/>
      <c r="W25" s="102"/>
      <c r="X25" s="132"/>
      <c r="Y25" s="132"/>
      <c r="Z25" s="132"/>
      <c r="AA25" s="143">
        <f t="shared" si="0"/>
        <v>0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27" ht="12.75">
      <c r="A26" s="245"/>
      <c r="B26" s="2" t="s">
        <v>13</v>
      </c>
      <c r="C26" s="75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6"/>
      <c r="P26" s="48">
        <f t="shared" si="1"/>
        <v>0</v>
      </c>
      <c r="Q26" s="176"/>
      <c r="R26" s="176"/>
      <c r="S26" s="10"/>
      <c r="T26" s="102"/>
      <c r="U26" s="102"/>
      <c r="V26" s="102"/>
      <c r="W26" s="102"/>
      <c r="X26" s="132"/>
      <c r="Y26" s="132"/>
      <c r="Z26" s="132"/>
      <c r="AA26" s="143">
        <f t="shared" si="0"/>
        <v>0</v>
      </c>
    </row>
    <row r="27" spans="1:27" ht="12.75">
      <c r="A27" s="245"/>
      <c r="B27" s="2" t="s">
        <v>25</v>
      </c>
      <c r="C27" s="75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6"/>
      <c r="P27" s="48">
        <f t="shared" si="1"/>
        <v>0</v>
      </c>
      <c r="Q27" s="176"/>
      <c r="R27" s="176"/>
      <c r="S27" s="10"/>
      <c r="T27" s="107"/>
      <c r="U27" s="108"/>
      <c r="V27" s="102"/>
      <c r="W27" s="102"/>
      <c r="X27" s="132"/>
      <c r="Y27" s="132"/>
      <c r="Z27" s="132"/>
      <c r="AA27" s="143">
        <f t="shared" si="0"/>
        <v>0</v>
      </c>
    </row>
    <row r="28" spans="1:27" ht="12.75">
      <c r="A28" s="245"/>
      <c r="B28" s="5" t="s">
        <v>14</v>
      </c>
      <c r="C28" s="7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9"/>
      <c r="P28" s="48">
        <f t="shared" si="1"/>
        <v>0</v>
      </c>
      <c r="Q28" s="176"/>
      <c r="R28" s="176"/>
      <c r="S28" s="10"/>
      <c r="T28" s="102"/>
      <c r="U28" s="108"/>
      <c r="V28" s="102"/>
      <c r="W28" s="102"/>
      <c r="X28" s="132"/>
      <c r="Y28" s="132"/>
      <c r="Z28" s="132"/>
      <c r="AA28" s="143">
        <f t="shared" si="0"/>
        <v>0</v>
      </c>
    </row>
    <row r="29" spans="1:27" ht="13.5" thickBot="1">
      <c r="A29" s="245"/>
      <c r="B29" s="3" t="s">
        <v>115</v>
      </c>
      <c r="C29" s="168">
        <v>10000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7"/>
      <c r="P29" s="46">
        <f t="shared" si="1"/>
        <v>10000</v>
      </c>
      <c r="Q29" s="176"/>
      <c r="R29" s="176"/>
      <c r="S29" s="10"/>
      <c r="T29" s="102"/>
      <c r="U29" s="108"/>
      <c r="V29" s="102"/>
      <c r="W29" s="102"/>
      <c r="X29" s="132"/>
      <c r="Y29" s="132">
        <v>500</v>
      </c>
      <c r="Z29" s="132"/>
      <c r="AA29" s="143">
        <f t="shared" si="0"/>
        <v>0</v>
      </c>
    </row>
    <row r="30" spans="1:27" ht="12.75">
      <c r="A30" s="245"/>
      <c r="B30" s="4" t="s">
        <v>15</v>
      </c>
      <c r="C30" s="169">
        <f>IF(F3&lt;&gt;0,120,100)</f>
        <v>100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51"/>
      <c r="P30" s="44">
        <f>SUM(C30:O30,AA30)+ROUNDDOWN((P28/10),0)</f>
        <v>100</v>
      </c>
      <c r="Q30" s="176"/>
      <c r="R30" s="176"/>
      <c r="S30" s="10"/>
      <c r="T30" s="109"/>
      <c r="U30" s="108"/>
      <c r="V30" s="102"/>
      <c r="W30" s="102"/>
      <c r="X30" s="132"/>
      <c r="Y30" s="132"/>
      <c r="Z30" s="132"/>
      <c r="AA30" s="143">
        <f t="shared" si="0"/>
        <v>0</v>
      </c>
    </row>
    <row r="31" spans="1:27" ht="12.75" customHeight="1">
      <c r="A31" s="245"/>
      <c r="B31" s="2" t="s">
        <v>24</v>
      </c>
      <c r="C31" s="162">
        <f>SUM(D31:O31)+AA31</f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66"/>
      <c r="P31" s="48">
        <f>C31+P28+P24+ROUNDDOWN(P25*1.5,0)+ROUNDDOWN(P26*1.5,0)+S3+P27</f>
        <v>0</v>
      </c>
      <c r="Q31" s="176"/>
      <c r="R31" s="176"/>
      <c r="S31" s="10"/>
      <c r="T31" s="109"/>
      <c r="U31" s="108"/>
      <c r="V31" s="102"/>
      <c r="W31" s="102"/>
      <c r="X31" s="132">
        <v>25</v>
      </c>
      <c r="Y31" s="132">
        <v>50</v>
      </c>
      <c r="Z31" s="132">
        <v>25</v>
      </c>
      <c r="AA31" s="143">
        <f t="shared" si="0"/>
        <v>0</v>
      </c>
    </row>
    <row r="32" spans="1:27" ht="12.75" customHeight="1">
      <c r="A32" s="245"/>
      <c r="B32" s="5" t="s">
        <v>29</v>
      </c>
      <c r="C32" s="170">
        <f>1000+T6+T7+T8+((M6+M7+M8)*5)</f>
        <v>1000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69"/>
      <c r="P32" s="48">
        <f>SUM(C32:O32)+5*P24+AA32</f>
        <v>1000</v>
      </c>
      <c r="Q32" s="176"/>
      <c r="R32" s="176"/>
      <c r="S32" s="10"/>
      <c r="T32" s="109"/>
      <c r="U32" s="108"/>
      <c r="V32" s="102"/>
      <c r="W32" s="102"/>
      <c r="X32" s="132"/>
      <c r="Y32" s="132"/>
      <c r="Z32" s="132"/>
      <c r="AA32" s="143">
        <f t="shared" si="0"/>
        <v>0</v>
      </c>
    </row>
    <row r="33" spans="1:27" ht="13.5" thickBot="1">
      <c r="A33" s="245"/>
      <c r="B33" s="3" t="s">
        <v>28</v>
      </c>
      <c r="C33" s="168">
        <v>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7"/>
      <c r="P33" s="46">
        <f>IF((SUM(C33:O33)+AA33)&lt;0,0,(SUM(C33:O33)+AA33))</f>
        <v>1</v>
      </c>
      <c r="Q33" s="176"/>
      <c r="R33" s="176"/>
      <c r="S33" s="10"/>
      <c r="T33" s="109"/>
      <c r="U33" s="108"/>
      <c r="V33" s="102"/>
      <c r="W33" s="102"/>
      <c r="X33" s="132"/>
      <c r="Y33" s="132"/>
      <c r="Z33" s="132"/>
      <c r="AA33" s="143">
        <f t="shared" si="0"/>
        <v>0</v>
      </c>
    </row>
    <row r="34" spans="1:27" ht="12.75">
      <c r="A34" s="245"/>
      <c r="B34" s="14" t="s">
        <v>45</v>
      </c>
      <c r="C34" s="8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72"/>
      <c r="P34" s="44">
        <f>IF((SUM(C34:O34)+AA34)&lt;0,0,(SUM(C34:O34)+AA34))</f>
        <v>0</v>
      </c>
      <c r="Q34" s="176"/>
      <c r="R34" s="176"/>
      <c r="S34" s="10"/>
      <c r="T34" s="109"/>
      <c r="U34" s="108"/>
      <c r="V34" s="102"/>
      <c r="W34" s="102"/>
      <c r="X34" s="132"/>
      <c r="Y34" s="132"/>
      <c r="Z34" s="132"/>
      <c r="AA34" s="143">
        <f t="shared" si="0"/>
        <v>0</v>
      </c>
    </row>
    <row r="35" spans="1:27" ht="12.75">
      <c r="A35" s="245"/>
      <c r="B35" s="15" t="s">
        <v>46</v>
      </c>
      <c r="C35" s="162">
        <f>IF(S3&gt;=100,7,6)</f>
        <v>6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6"/>
      <c r="P35" s="48">
        <f>IF((SUM(C35:O35)+AA35)&lt;0,0,(SUM(C35:O35)+AA35))</f>
        <v>6</v>
      </c>
      <c r="Q35" s="176"/>
      <c r="R35" s="176"/>
      <c r="S35" s="10"/>
      <c r="T35" s="109"/>
      <c r="U35" s="108"/>
      <c r="V35" s="102"/>
      <c r="W35" s="102"/>
      <c r="X35" s="132"/>
      <c r="Y35" s="132"/>
      <c r="Z35" s="132"/>
      <c r="AA35" s="143">
        <f t="shared" si="0"/>
        <v>0</v>
      </c>
    </row>
    <row r="36" spans="1:27" ht="13.5" thickBot="1">
      <c r="A36" s="245"/>
      <c r="B36" s="18" t="s">
        <v>47</v>
      </c>
      <c r="C36" s="168">
        <v>3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7"/>
      <c r="P36" s="46">
        <f>IF((SUM(C36:O36)+AA36)&lt;0,0,(SUM(C36:O36)+AA36))</f>
        <v>3</v>
      </c>
      <c r="Q36" s="176"/>
      <c r="R36" s="176"/>
      <c r="S36" s="10"/>
      <c r="T36" s="109"/>
      <c r="U36" s="108"/>
      <c r="V36" s="102"/>
      <c r="W36" s="102"/>
      <c r="X36" s="132"/>
      <c r="Y36" s="132"/>
      <c r="Z36" s="132"/>
      <c r="AA36" s="143">
        <f t="shared" si="0"/>
        <v>0</v>
      </c>
    </row>
    <row r="37" spans="1:27" ht="13.5" thickBot="1">
      <c r="A37" s="6"/>
      <c r="B37" s="3" t="s">
        <v>83</v>
      </c>
      <c r="C37" s="16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2"/>
      <c r="P37" s="142">
        <f>ROUNDDOWN(P27/4,0)/100</f>
        <v>0</v>
      </c>
      <c r="Q37" s="177"/>
      <c r="R37" s="177"/>
      <c r="S37" s="10"/>
      <c r="T37" s="109"/>
      <c r="U37" s="108"/>
      <c r="V37" s="102"/>
      <c r="W37" s="102"/>
      <c r="X37" s="132"/>
      <c r="Y37" s="132"/>
      <c r="Z37" s="132"/>
      <c r="AA37" s="143">
        <f t="shared" si="0"/>
        <v>0</v>
      </c>
    </row>
    <row r="38" spans="1:22" ht="13.5" thickBo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0"/>
      <c r="Q38" s="10"/>
      <c r="R38" s="10"/>
      <c r="S38" s="109"/>
      <c r="T38" s="108"/>
      <c r="U38" s="102"/>
      <c r="V38" s="102"/>
    </row>
    <row r="39" spans="1:22" ht="60" customHeight="1" thickBot="1">
      <c r="A39" s="13"/>
      <c r="B39" s="123" t="s">
        <v>44</v>
      </c>
      <c r="C39" s="240" t="s">
        <v>85</v>
      </c>
      <c r="D39" s="241"/>
      <c r="E39" s="246" t="s">
        <v>86</v>
      </c>
      <c r="F39" s="217" t="s">
        <v>30</v>
      </c>
      <c r="G39" s="240" t="s">
        <v>87</v>
      </c>
      <c r="H39" s="241" t="s">
        <v>31</v>
      </c>
      <c r="I39" s="246" t="s">
        <v>88</v>
      </c>
      <c r="J39" s="217" t="s">
        <v>32</v>
      </c>
      <c r="K39" s="240" t="s">
        <v>89</v>
      </c>
      <c r="L39" s="217" t="s">
        <v>33</v>
      </c>
      <c r="M39" s="240" t="s">
        <v>90</v>
      </c>
      <c r="N39" s="266"/>
      <c r="O39" s="266"/>
      <c r="P39" s="241"/>
      <c r="Q39" s="178"/>
      <c r="R39" s="178"/>
      <c r="S39" s="110"/>
      <c r="T39" s="110"/>
      <c r="U39" s="110"/>
      <c r="V39" s="110"/>
    </row>
    <row r="40" spans="1:22" ht="12.75" customHeight="1">
      <c r="A40" s="6"/>
      <c r="B40" s="16" t="s">
        <v>51</v>
      </c>
      <c r="C40" s="74"/>
      <c r="D40" s="79"/>
      <c r="E40" s="27"/>
      <c r="F40" s="19"/>
      <c r="G40" s="89"/>
      <c r="H40" s="90"/>
      <c r="I40" s="27"/>
      <c r="J40" s="19"/>
      <c r="K40" s="89"/>
      <c r="L40" s="19"/>
      <c r="M40" s="78"/>
      <c r="N40" s="49"/>
      <c r="O40" s="271" t="s">
        <v>96</v>
      </c>
      <c r="P40" s="272"/>
      <c r="Q40" s="10"/>
      <c r="R40" s="10"/>
      <c r="S40" s="109"/>
      <c r="T40" s="109"/>
      <c r="U40" s="109"/>
      <c r="V40" s="109"/>
    </row>
    <row r="41" spans="1:22" ht="12.75" customHeight="1">
      <c r="A41" s="6"/>
      <c r="B41" s="2" t="s">
        <v>52</v>
      </c>
      <c r="C41" s="80"/>
      <c r="D41" s="81"/>
      <c r="E41" s="73"/>
      <c r="F41" s="65"/>
      <c r="G41" s="80"/>
      <c r="H41" s="81"/>
      <c r="I41" s="20"/>
      <c r="J41" s="21"/>
      <c r="K41" s="80"/>
      <c r="L41" s="21"/>
      <c r="M41" s="75"/>
      <c r="N41" s="64"/>
      <c r="O41" s="273"/>
      <c r="P41" s="274"/>
      <c r="Q41" s="179"/>
      <c r="R41" s="179"/>
      <c r="S41" s="109"/>
      <c r="T41" s="109"/>
      <c r="U41" s="109"/>
      <c r="V41" s="109"/>
    </row>
    <row r="42" spans="1:22" ht="12.75" customHeight="1">
      <c r="A42" s="6"/>
      <c r="B42" s="2" t="s">
        <v>53</v>
      </c>
      <c r="C42" s="80"/>
      <c r="D42" s="81"/>
      <c r="E42" s="20"/>
      <c r="F42" s="21"/>
      <c r="G42" s="75"/>
      <c r="H42" s="85"/>
      <c r="I42" s="20"/>
      <c r="J42" s="21"/>
      <c r="K42" s="80"/>
      <c r="L42" s="21"/>
      <c r="M42" s="75"/>
      <c r="N42" s="64"/>
      <c r="O42" s="277">
        <f>IF(N86=0,N86,(N86+1)/10)</f>
        <v>0</v>
      </c>
      <c r="P42" s="278"/>
      <c r="Q42" s="179"/>
      <c r="R42" s="179"/>
      <c r="S42" s="109"/>
      <c r="T42" s="109"/>
      <c r="U42" s="109"/>
      <c r="V42" s="109"/>
    </row>
    <row r="43" spans="1:22" ht="12.75" customHeight="1">
      <c r="A43" s="6"/>
      <c r="B43" s="2" t="s">
        <v>54</v>
      </c>
      <c r="C43" s="80"/>
      <c r="D43" s="81"/>
      <c r="E43" s="20"/>
      <c r="F43" s="21"/>
      <c r="G43" s="80"/>
      <c r="H43" s="81"/>
      <c r="I43" s="73"/>
      <c r="J43" s="65"/>
      <c r="K43" s="80"/>
      <c r="L43" s="21"/>
      <c r="M43" s="75"/>
      <c r="N43" s="64"/>
      <c r="O43" s="279"/>
      <c r="P43" s="280"/>
      <c r="Q43" s="179"/>
      <c r="R43" s="179"/>
      <c r="S43" s="109"/>
      <c r="T43" s="109"/>
      <c r="U43" s="109"/>
      <c r="V43" s="109"/>
    </row>
    <row r="44" spans="1:22" ht="13.5" customHeight="1" thickBot="1">
      <c r="A44" s="6"/>
      <c r="B44" s="5" t="s">
        <v>55</v>
      </c>
      <c r="C44" s="82"/>
      <c r="D44" s="83"/>
      <c r="E44" s="23"/>
      <c r="F44" s="87"/>
      <c r="G44" s="82"/>
      <c r="H44" s="83"/>
      <c r="I44" s="23"/>
      <c r="J44" s="87"/>
      <c r="K44" s="76"/>
      <c r="L44" s="68"/>
      <c r="M44" s="200"/>
      <c r="N44" s="55"/>
      <c r="O44" s="281"/>
      <c r="P44" s="282"/>
      <c r="Q44" s="179"/>
      <c r="R44" s="179"/>
      <c r="S44" s="109"/>
      <c r="T44" s="109"/>
      <c r="U44" s="109"/>
      <c r="V44" s="109"/>
    </row>
    <row r="45" spans="1:22" ht="12.75" customHeight="1">
      <c r="A45" s="12"/>
      <c r="B45" s="4" t="s">
        <v>34</v>
      </c>
      <c r="C45" s="78">
        <v>0</v>
      </c>
      <c r="D45" s="84">
        <v>0</v>
      </c>
      <c r="E45" s="77">
        <v>0</v>
      </c>
      <c r="F45" s="50">
        <v>0</v>
      </c>
      <c r="G45" s="78">
        <v>0</v>
      </c>
      <c r="H45" s="84">
        <v>0</v>
      </c>
      <c r="I45" s="77">
        <v>0</v>
      </c>
      <c r="J45" s="50">
        <v>0</v>
      </c>
      <c r="K45" s="78">
        <v>0</v>
      </c>
      <c r="L45" s="50">
        <v>0</v>
      </c>
      <c r="M45" s="74">
        <v>0</v>
      </c>
      <c r="N45" s="70">
        <v>0</v>
      </c>
      <c r="O45" s="275" t="s">
        <v>127</v>
      </c>
      <c r="P45" s="276"/>
      <c r="Q45" s="10"/>
      <c r="R45" s="10"/>
      <c r="S45" s="111"/>
      <c r="T45" s="111"/>
      <c r="U45" s="109"/>
      <c r="V45" s="109"/>
    </row>
    <row r="46" spans="1:22" ht="12.75" customHeight="1">
      <c r="A46" s="12"/>
      <c r="B46" s="2" t="s">
        <v>56</v>
      </c>
      <c r="C46" s="22">
        <v>1</v>
      </c>
      <c r="D46" s="85">
        <v>50</v>
      </c>
      <c r="E46" s="25">
        <v>1</v>
      </c>
      <c r="F46" s="65">
        <v>50</v>
      </c>
      <c r="G46" s="91">
        <v>1</v>
      </c>
      <c r="H46" s="85">
        <v>50</v>
      </c>
      <c r="I46" s="28">
        <v>1</v>
      </c>
      <c r="J46" s="65">
        <v>50</v>
      </c>
      <c r="K46" s="91">
        <v>1</v>
      </c>
      <c r="L46" s="65">
        <v>50</v>
      </c>
      <c r="M46" s="22">
        <v>1</v>
      </c>
      <c r="N46" s="64">
        <v>50</v>
      </c>
      <c r="O46" s="273"/>
      <c r="P46" s="274"/>
      <c r="Q46" s="179"/>
      <c r="R46" s="179"/>
      <c r="S46" s="10"/>
      <c r="T46" s="10"/>
      <c r="U46" s="10"/>
      <c r="V46" s="10"/>
    </row>
    <row r="47" spans="1:22" ht="13.5" customHeight="1" thickBot="1">
      <c r="A47" s="12"/>
      <c r="B47" s="5" t="s">
        <v>57</v>
      </c>
      <c r="C47" s="24">
        <v>1</v>
      </c>
      <c r="D47" s="86">
        <v>50</v>
      </c>
      <c r="E47" s="26">
        <v>1</v>
      </c>
      <c r="F47" s="68">
        <v>50</v>
      </c>
      <c r="G47" s="92">
        <v>1</v>
      </c>
      <c r="H47" s="86">
        <v>50</v>
      </c>
      <c r="I47" s="88">
        <v>1</v>
      </c>
      <c r="J47" s="68">
        <v>50</v>
      </c>
      <c r="K47" s="92">
        <v>1</v>
      </c>
      <c r="L47" s="68">
        <v>50</v>
      </c>
      <c r="M47" s="22">
        <v>1</v>
      </c>
      <c r="N47" s="64">
        <v>50</v>
      </c>
      <c r="O47" s="277">
        <f>SUM(C87:M95)</f>
        <v>0</v>
      </c>
      <c r="P47" s="278"/>
      <c r="Q47" s="179"/>
      <c r="R47" s="179"/>
      <c r="S47" s="10"/>
      <c r="T47" s="10"/>
      <c r="U47" s="10"/>
      <c r="V47" s="10"/>
    </row>
    <row r="48" spans="1:22" ht="12.75" customHeight="1">
      <c r="A48" s="6"/>
      <c r="B48" s="4" t="s">
        <v>26</v>
      </c>
      <c r="C48" s="78">
        <v>1</v>
      </c>
      <c r="D48" s="84">
        <v>1</v>
      </c>
      <c r="E48" s="77">
        <v>1</v>
      </c>
      <c r="F48" s="50">
        <v>1</v>
      </c>
      <c r="G48" s="78">
        <v>1</v>
      </c>
      <c r="H48" s="84">
        <v>1</v>
      </c>
      <c r="I48" s="77">
        <v>1</v>
      </c>
      <c r="J48" s="50">
        <v>1</v>
      </c>
      <c r="K48" s="78">
        <v>1</v>
      </c>
      <c r="L48" s="50">
        <v>1</v>
      </c>
      <c r="M48" s="75">
        <v>1</v>
      </c>
      <c r="N48" s="64">
        <v>1</v>
      </c>
      <c r="O48" s="279"/>
      <c r="P48" s="280"/>
      <c r="Q48" s="179"/>
      <c r="R48" s="179"/>
      <c r="S48" s="10"/>
      <c r="T48" s="10"/>
      <c r="U48" s="10"/>
      <c r="V48" s="10"/>
    </row>
    <row r="49" spans="1:22" ht="13.5" customHeight="1" thickBot="1">
      <c r="A49" s="6"/>
      <c r="B49" s="3" t="s">
        <v>27</v>
      </c>
      <c r="C49" s="242">
        <v>6</v>
      </c>
      <c r="D49" s="243"/>
      <c r="E49" s="218">
        <v>6</v>
      </c>
      <c r="F49" s="219"/>
      <c r="G49" s="242">
        <v>6</v>
      </c>
      <c r="H49" s="243"/>
      <c r="I49" s="218">
        <v>6</v>
      </c>
      <c r="J49" s="219"/>
      <c r="K49" s="242">
        <v>6</v>
      </c>
      <c r="L49" s="219"/>
      <c r="M49" s="221">
        <v>6</v>
      </c>
      <c r="N49" s="222"/>
      <c r="O49" s="279"/>
      <c r="P49" s="280"/>
      <c r="Q49" s="179"/>
      <c r="R49" s="179"/>
      <c r="S49" s="10"/>
      <c r="T49" s="10"/>
      <c r="U49" s="10"/>
      <c r="V49" s="10"/>
    </row>
    <row r="50" spans="1:22" ht="13.5" thickBot="1">
      <c r="A50" s="6"/>
      <c r="B50" s="115" t="s">
        <v>93</v>
      </c>
      <c r="C50" s="227">
        <v>0</v>
      </c>
      <c r="D50" s="228"/>
      <c r="E50" s="227">
        <v>0</v>
      </c>
      <c r="F50" s="228"/>
      <c r="G50" s="227">
        <v>0</v>
      </c>
      <c r="H50" s="228"/>
      <c r="I50" s="227">
        <v>0</v>
      </c>
      <c r="J50" s="228"/>
      <c r="K50" s="227">
        <v>0</v>
      </c>
      <c r="L50" s="229"/>
      <c r="M50" s="291"/>
      <c r="N50" s="292"/>
      <c r="O50" s="292"/>
      <c r="P50" s="293"/>
      <c r="Q50" s="34"/>
      <c r="R50" s="34"/>
      <c r="S50" s="10"/>
      <c r="T50" s="10"/>
      <c r="U50" s="10"/>
      <c r="V50" s="10"/>
    </row>
    <row r="51" spans="1:22" ht="13.5" thickBot="1">
      <c r="A51" s="6"/>
      <c r="B51" s="7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4"/>
      <c r="P51" s="10"/>
      <c r="Q51" s="10"/>
      <c r="R51" s="10"/>
      <c r="S51" s="10"/>
      <c r="T51" s="12"/>
      <c r="U51" s="7"/>
      <c r="V51" s="7"/>
    </row>
    <row r="52" spans="1:22" ht="13.5" hidden="1" thickBot="1">
      <c r="A52" s="6"/>
      <c r="B52" s="7"/>
      <c r="C52" s="107">
        <f>P24/100</f>
        <v>0</v>
      </c>
      <c r="D52" s="112">
        <f>C52</f>
        <v>0</v>
      </c>
      <c r="E52" s="113">
        <f>D52</f>
        <v>0</v>
      </c>
      <c r="F52" s="112">
        <f>E52</f>
        <v>0</v>
      </c>
      <c r="G52" s="107">
        <f>P25/100</f>
        <v>0</v>
      </c>
      <c r="H52" s="112">
        <f>G52</f>
        <v>0</v>
      </c>
      <c r="I52" s="107">
        <f>P28/100</f>
        <v>0</v>
      </c>
      <c r="J52" s="112">
        <f>I52</f>
        <v>0</v>
      </c>
      <c r="K52" s="107">
        <f>P26/100</f>
        <v>0</v>
      </c>
      <c r="L52" s="112">
        <f>K52</f>
        <v>0</v>
      </c>
      <c r="M52" s="114"/>
      <c r="N52" s="114"/>
      <c r="O52" s="114"/>
      <c r="P52" s="10"/>
      <c r="Q52" s="10"/>
      <c r="R52" s="10"/>
      <c r="S52" s="10"/>
      <c r="T52" s="12"/>
      <c r="U52" s="7"/>
      <c r="V52" s="7"/>
    </row>
    <row r="53" spans="1:22" ht="60" customHeight="1" thickBot="1">
      <c r="A53" s="13"/>
      <c r="B53" s="123" t="s">
        <v>84</v>
      </c>
      <c r="C53" s="240" t="s">
        <v>85</v>
      </c>
      <c r="D53" s="241"/>
      <c r="E53" s="246" t="s">
        <v>86</v>
      </c>
      <c r="F53" s="217" t="s">
        <v>30</v>
      </c>
      <c r="G53" s="240" t="s">
        <v>87</v>
      </c>
      <c r="H53" s="241" t="s">
        <v>31</v>
      </c>
      <c r="I53" s="246" t="s">
        <v>88</v>
      </c>
      <c r="J53" s="217" t="s">
        <v>32</v>
      </c>
      <c r="K53" s="240" t="s">
        <v>89</v>
      </c>
      <c r="L53" s="217" t="s">
        <v>33</v>
      </c>
      <c r="M53" s="259" t="s">
        <v>90</v>
      </c>
      <c r="N53" s="260"/>
      <c r="O53" s="260"/>
      <c r="P53" s="261"/>
      <c r="Q53" s="178"/>
      <c r="R53" s="178"/>
      <c r="S53" s="110"/>
      <c r="T53" s="110"/>
      <c r="U53" s="110"/>
      <c r="V53" s="110"/>
    </row>
    <row r="54" spans="1:22" ht="12.75">
      <c r="A54" s="6"/>
      <c r="B54" s="36" t="s">
        <v>92</v>
      </c>
      <c r="C54" s="93">
        <f>ROUNDDOWN(IF(C50&gt;=1,0,((ROUNDDOWN(C40*(1+C52+$P$13),0))+$P$12)*(1-C50)),0)</f>
        <v>0</v>
      </c>
      <c r="D54" s="94">
        <f>ROUNDDOWN(IF(C50&gt;=1,0,((ROUNDDOWN(D40*(1+D52+$P$13),0))+$P$12)*(1-C50)),0)</f>
        <v>0</v>
      </c>
      <c r="E54" s="93">
        <f>ROUNDDOWN(IF(E50&gt;=1,0,((ROUNDDOWN(E41*(1+E52+$P$13),0))+$P$12)*(1-E50)),0)</f>
        <v>0</v>
      </c>
      <c r="F54" s="94">
        <f>ROUNDDOWN(IF(E50&gt;=1,0,((ROUNDDOWN(F41*(1+F52+$P$13),0))+$P$12)*(1-E50)),0)</f>
        <v>0</v>
      </c>
      <c r="G54" s="93">
        <f>ROUNDDOWN(IF(G50&gt;=1,0,((ROUNDDOWN(G42*(1+G52+$P$13),0))+$P$12)*(1-G50)),0)</f>
        <v>0</v>
      </c>
      <c r="H54" s="94">
        <f>ROUNDDOWN(IF(G50&gt;=1,0,((ROUNDDOWN(H42*(1+H52+$P$13),0))+$P$12)*(1-G50)),0)</f>
        <v>0</v>
      </c>
      <c r="I54" s="93">
        <f>ROUNDDOWN(IF(I50&gt;=1,0,((ROUNDDOWN(I43*(1+I52+$P$13),0))+$P$12)*(1-I50)),0)</f>
        <v>0</v>
      </c>
      <c r="J54" s="94">
        <f>ROUNDDOWN(IF(I50&gt;=1,0,((ROUNDDOWN(J43*(1+J52+$P$13),0))+$P$12)*(1-I50)),0)</f>
        <v>0</v>
      </c>
      <c r="K54" s="93">
        <f>ROUNDDOWN(IF(K50&gt;=1,0,((ROUNDDOWN(K44*(1+K52+$P$13),0))+$P$12)*(1-K50)),0)</f>
        <v>0</v>
      </c>
      <c r="L54" s="171">
        <f>ROUNDDOWN(IF(K50&gt;=1,0,((ROUNDDOWN(L44*(1+L52+$P$13),0))+$P$12)*(1-K50)),0)</f>
        <v>0</v>
      </c>
      <c r="M54" s="93">
        <f>M71</f>
        <v>0</v>
      </c>
      <c r="N54" s="202">
        <f>N71</f>
        <v>0</v>
      </c>
      <c r="O54" s="262" t="s">
        <v>110</v>
      </c>
      <c r="P54" s="263"/>
      <c r="Q54" s="161"/>
      <c r="R54" s="161"/>
      <c r="S54" s="10"/>
      <c r="T54" s="12"/>
      <c r="U54" s="7"/>
      <c r="V54" s="7"/>
    </row>
    <row r="55" spans="1:22" ht="12.75">
      <c r="A55" s="6"/>
      <c r="B55" s="37" t="s">
        <v>63</v>
      </c>
      <c r="C55" s="95">
        <f>ROUNDDOWN(IF(C50&gt;=1,0,((ROUNDDOWN(C45*(1+C52+$P$13),0))+$P$12)*(1-C50)),0)</f>
        <v>0</v>
      </c>
      <c r="D55" s="96">
        <f>ROUNDDOWN(IF(C50&gt;=1,0,((ROUNDDOWN(D45*(1+D52+$P$13),0))+$P$12)*(1-C50)),0)</f>
        <v>0</v>
      </c>
      <c r="E55" s="95">
        <f>ROUNDDOWN(IF(E50&gt;=1,0,((ROUNDDOWN(E45*(1+E52+$P$13),0))+$P$12)*(1-E50)),0)</f>
        <v>0</v>
      </c>
      <c r="F55" s="96">
        <f>ROUNDDOWN(IF(E50&gt;=1,0,((ROUNDDOWN(F45*(1+F52+$P$13),0))+$P$12)*(1-E50)),0)</f>
        <v>0</v>
      </c>
      <c r="G55" s="95">
        <f>ROUNDDOWN(IF(G50&gt;=1,0,((ROUNDDOWN(G45*(1+G52+$P$13),0))+$P$12)*(1-G50)),0)</f>
        <v>0</v>
      </c>
      <c r="H55" s="96">
        <f>ROUNDDOWN(IF(G50&gt;=1,0,((ROUNDDOWN(H45*(1+H52+$P$13),0))+$P$12)*(1-G50)),0)</f>
        <v>0</v>
      </c>
      <c r="I55" s="95">
        <f>ROUNDDOWN(IF(I50&gt;=1,0,((ROUNDDOWN(I45*(1+I52+$P$13),0))+$P$12)*(1-I50)),0)</f>
        <v>0</v>
      </c>
      <c r="J55" s="96">
        <f>ROUNDDOWN(IF(I50&gt;=1,0,((ROUNDDOWN(J45*(1+J52+$P$13),0))+$P$12)*(1-I50)),0)</f>
        <v>0</v>
      </c>
      <c r="K55" s="95">
        <f>ROUNDDOWN(IF(K50&gt;=1,0,((ROUNDDOWN(K45*(1+K52+$P$13),0))+$P$12)*(1-K50)),0)</f>
        <v>0</v>
      </c>
      <c r="L55" s="172">
        <f>ROUNDDOWN(IF(K50&gt;=1,0,((ROUNDDOWN(L45*(1+L52+$P$13),0))+$P$12)*(1-K50)),0)</f>
        <v>0</v>
      </c>
      <c r="M55" s="95">
        <f>M72</f>
        <v>0</v>
      </c>
      <c r="N55" s="97">
        <f>N72</f>
        <v>0</v>
      </c>
      <c r="O55" s="264"/>
      <c r="P55" s="265"/>
      <c r="Q55" s="161"/>
      <c r="R55" s="161"/>
      <c r="S55" s="10"/>
      <c r="T55" s="12"/>
      <c r="U55" s="7"/>
      <c r="V55" s="7"/>
    </row>
    <row r="56" spans="1:22" ht="12.75">
      <c r="A56" s="6"/>
      <c r="B56" s="37" t="s">
        <v>60</v>
      </c>
      <c r="C56" s="238">
        <f>(IF(D46-$P$14&gt;2,C46/(D46-$P$14)*(1+$P$26/100),0.5))</f>
        <v>0.02</v>
      </c>
      <c r="D56" s="239"/>
      <c r="E56" s="238">
        <f>(IF(F46-$P$14&gt;2,E46/(F46-$P$14)*(1+$P$26/100),0.5))</f>
        <v>0.02</v>
      </c>
      <c r="F56" s="239"/>
      <c r="G56" s="238">
        <f>(IF(H46-$P$14&gt;2,G46/(H46-$P$14)*(1+$P$26/100),0.5))</f>
        <v>0.02</v>
      </c>
      <c r="H56" s="239"/>
      <c r="I56" s="238">
        <f>(IF(J46-$P$14&gt;2,I46/(J46-$P$14)*(1+$P$26/100),0.5))</f>
        <v>0.02</v>
      </c>
      <c r="J56" s="239"/>
      <c r="K56" s="238">
        <f>(IF(L46-$P$14&gt;2,K46/(L46-$P$14)*(1+$P$26/100),0.5))</f>
        <v>0.02</v>
      </c>
      <c r="L56" s="253"/>
      <c r="M56" s="238">
        <f>(IF(N46-$P$14&gt;2,M46/(N46-$P$14)*(1+$P$26/100),0.5))</f>
        <v>0.02</v>
      </c>
      <c r="N56" s="254"/>
      <c r="O56" s="264"/>
      <c r="P56" s="265"/>
      <c r="Q56" s="161"/>
      <c r="R56" s="161"/>
      <c r="S56" s="10"/>
      <c r="T56" s="12"/>
      <c r="U56" s="7"/>
      <c r="V56" s="7"/>
    </row>
    <row r="57" spans="1:22" ht="12.75">
      <c r="A57" s="6"/>
      <c r="B57" s="37" t="s">
        <v>61</v>
      </c>
      <c r="C57" s="238">
        <f>C47/(D47)</f>
        <v>0.02</v>
      </c>
      <c r="D57" s="239"/>
      <c r="E57" s="238">
        <f>E47/(F47)</f>
        <v>0.02</v>
      </c>
      <c r="F57" s="239"/>
      <c r="G57" s="238">
        <f>G47/(H47)</f>
        <v>0.02</v>
      </c>
      <c r="H57" s="239"/>
      <c r="I57" s="238">
        <f>I47/(J47)</f>
        <v>0.02</v>
      </c>
      <c r="J57" s="239"/>
      <c r="K57" s="238">
        <f>K47/(L47)</f>
        <v>0.02</v>
      </c>
      <c r="L57" s="253"/>
      <c r="M57" s="238">
        <f>M47/(N47)</f>
        <v>0.02</v>
      </c>
      <c r="N57" s="254"/>
      <c r="O57" s="283">
        <f>IF(M40&lt;&gt;0,"¤ Neutre ¤","")</f>
      </c>
      <c r="P57" s="284"/>
      <c r="Q57" s="180"/>
      <c r="R57" s="180"/>
      <c r="S57" s="10"/>
      <c r="T57" s="12"/>
      <c r="U57" s="7"/>
      <c r="V57" s="7"/>
    </row>
    <row r="58" spans="1:22" ht="12.75">
      <c r="A58" s="6"/>
      <c r="B58" s="37" t="s">
        <v>62</v>
      </c>
      <c r="C58" s="234">
        <f>ROUNDDOWN($P$35/C49,0)</f>
        <v>1</v>
      </c>
      <c r="D58" s="220"/>
      <c r="E58" s="234">
        <f>ROUNDDOWN($P$35/E49,0)</f>
        <v>1</v>
      </c>
      <c r="F58" s="220"/>
      <c r="G58" s="234">
        <f>ROUNDDOWN($P$35/G49,0)</f>
        <v>1</v>
      </c>
      <c r="H58" s="220"/>
      <c r="I58" s="234">
        <f>ROUNDDOWN($P$35/I49,0)</f>
        <v>1</v>
      </c>
      <c r="J58" s="220"/>
      <c r="K58" s="234">
        <f>ROUNDDOWN($P$35/K49,0)</f>
        <v>1</v>
      </c>
      <c r="L58" s="235"/>
      <c r="M58" s="234">
        <f>ROUNDDOWN($P$35/M49,0)</f>
        <v>1</v>
      </c>
      <c r="N58" s="252"/>
      <c r="O58" s="285">
        <f>IF(M41&lt;&gt;0,"¤ Terre ¤","")</f>
      </c>
      <c r="P58" s="286"/>
      <c r="Q58" s="180"/>
      <c r="R58" s="180"/>
      <c r="S58" s="10"/>
      <c r="T58" s="12"/>
      <c r="U58" s="7"/>
      <c r="V58" s="7"/>
    </row>
    <row r="59" spans="1:22" ht="12.75">
      <c r="A59" s="6"/>
      <c r="B59" s="37" t="s">
        <v>91</v>
      </c>
      <c r="C59" s="98">
        <f>C48</f>
        <v>1</v>
      </c>
      <c r="D59" s="99">
        <f>D48+$P$34</f>
        <v>1</v>
      </c>
      <c r="E59" s="98">
        <f>E48</f>
        <v>1</v>
      </c>
      <c r="F59" s="99">
        <f>F48+$P$34</f>
        <v>1</v>
      </c>
      <c r="G59" s="98">
        <f>G48</f>
        <v>1</v>
      </c>
      <c r="H59" s="99">
        <f>H48+$P$34</f>
        <v>1</v>
      </c>
      <c r="I59" s="98">
        <f>I48</f>
        <v>1</v>
      </c>
      <c r="J59" s="99">
        <f>J48+$P$34</f>
        <v>1</v>
      </c>
      <c r="K59" s="98">
        <f>K48</f>
        <v>1</v>
      </c>
      <c r="L59" s="173">
        <f>L48+$P$34</f>
        <v>1</v>
      </c>
      <c r="M59" s="98">
        <f>M48</f>
        <v>1</v>
      </c>
      <c r="N59" s="100">
        <f>N48</f>
        <v>1</v>
      </c>
      <c r="O59" s="287">
        <f>IF(M42&lt;&gt;0,"¤ Feu ¤","")</f>
      </c>
      <c r="P59" s="288"/>
      <c r="Q59" s="180"/>
      <c r="R59" s="180"/>
      <c r="S59" s="10"/>
      <c r="T59" s="12"/>
      <c r="U59" s="7"/>
      <c r="V59" s="7"/>
    </row>
    <row r="60" spans="1:22" ht="12.75">
      <c r="A60" s="6"/>
      <c r="B60" s="37" t="s">
        <v>64</v>
      </c>
      <c r="C60" s="232">
        <f>AVERAGE(C54,D54)*(1-C57-C56)+AVERAGE(C55,D55)*C56</f>
        <v>0</v>
      </c>
      <c r="D60" s="236"/>
      <c r="E60" s="232">
        <f>AVERAGE(E54,F54)*(1-E57-E56)+AVERAGE(E55,F55)*E56</f>
        <v>0</v>
      </c>
      <c r="F60" s="236"/>
      <c r="G60" s="232">
        <f>AVERAGE(G54,H54)*(1-G57-G56)+AVERAGE(G55,H55)*G56</f>
        <v>0</v>
      </c>
      <c r="H60" s="236"/>
      <c r="I60" s="232">
        <f>AVERAGE(I54,J54)*(1-I57-I56)+AVERAGE(I55,J55)*I56</f>
        <v>0</v>
      </c>
      <c r="J60" s="236"/>
      <c r="K60" s="232">
        <f>AVERAGE(K54,L54)*(1-K57-K56)+AVERAGE(K55,L55)*K56</f>
        <v>0</v>
      </c>
      <c r="L60" s="237"/>
      <c r="M60" s="232">
        <f>AVERAGE(M54,N54)*(1-M57-M56)+AVERAGE(M55,N55)*M56</f>
        <v>0</v>
      </c>
      <c r="N60" s="233"/>
      <c r="O60" s="289">
        <f>IF(M43&lt;&gt;0,"¤ Eau ¤","")</f>
      </c>
      <c r="P60" s="290"/>
      <c r="Q60" s="180"/>
      <c r="R60" s="180"/>
      <c r="S60" s="10"/>
      <c r="T60" s="12"/>
      <c r="U60" s="7"/>
      <c r="V60" s="7"/>
    </row>
    <row r="61" spans="1:22" ht="13.5" thickBot="1">
      <c r="A61" s="6"/>
      <c r="B61" s="38" t="s">
        <v>65</v>
      </c>
      <c r="C61" s="230">
        <f>C60*C58</f>
        <v>0</v>
      </c>
      <c r="D61" s="231"/>
      <c r="E61" s="230">
        <f>E60*E58</f>
        <v>0</v>
      </c>
      <c r="F61" s="231"/>
      <c r="G61" s="230">
        <f>G60*G58</f>
        <v>0</v>
      </c>
      <c r="H61" s="231"/>
      <c r="I61" s="230">
        <f>I60*I58</f>
        <v>0</v>
      </c>
      <c r="J61" s="231"/>
      <c r="K61" s="230">
        <f>K60*K58</f>
        <v>0</v>
      </c>
      <c r="L61" s="249"/>
      <c r="M61" s="250">
        <f>M60*M58</f>
        <v>0</v>
      </c>
      <c r="N61" s="251"/>
      <c r="O61" s="269">
        <f>IF(M44&lt;&gt;0,"¤ Air ¤","")</f>
      </c>
      <c r="P61" s="270"/>
      <c r="Q61" s="180"/>
      <c r="R61" s="180"/>
      <c r="S61" s="10"/>
      <c r="T61" s="12"/>
      <c r="U61" s="7"/>
      <c r="V61" s="7"/>
    </row>
    <row r="62" spans="1:22" ht="12.75" hidden="1">
      <c r="A62" s="6"/>
      <c r="B62" s="7"/>
      <c r="C62" s="7"/>
      <c r="D62" s="7"/>
      <c r="E62" s="7"/>
      <c r="F62" s="7"/>
      <c r="G62" s="35"/>
      <c r="H62" s="7"/>
      <c r="I62" s="7"/>
      <c r="J62" s="7"/>
      <c r="K62" s="7"/>
      <c r="L62" s="7"/>
      <c r="M62" s="7"/>
      <c r="N62" s="7"/>
      <c r="O62" s="7"/>
      <c r="P62" s="10"/>
      <c r="Q62" s="10"/>
      <c r="R62" s="10"/>
      <c r="S62" s="10"/>
      <c r="T62" s="12"/>
      <c r="U62" s="7"/>
      <c r="V62" s="7"/>
    </row>
    <row r="63" spans="1:22" ht="12.75" hidden="1">
      <c r="A63" s="6"/>
      <c r="B63" s="148" t="s">
        <v>118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0"/>
      <c r="Q63" s="10"/>
      <c r="R63" s="10"/>
      <c r="S63" s="10"/>
      <c r="T63" s="12"/>
      <c r="U63" s="7"/>
      <c r="V63" s="7"/>
    </row>
    <row r="64" spans="2:15" ht="12.75" hidden="1">
      <c r="B64" s="117" t="s">
        <v>94</v>
      </c>
      <c r="C64" s="118">
        <f>M40</f>
        <v>0</v>
      </c>
      <c r="D64" s="118">
        <f>N40</f>
        <v>0</v>
      </c>
      <c r="E64" s="118">
        <f>M41</f>
        <v>0</v>
      </c>
      <c r="F64" s="118">
        <f>N41</f>
        <v>0</v>
      </c>
      <c r="G64" s="118">
        <f>M42</f>
        <v>0</v>
      </c>
      <c r="H64" s="118">
        <f>N42</f>
        <v>0</v>
      </c>
      <c r="I64" s="118">
        <f>M43</f>
        <v>0</v>
      </c>
      <c r="J64" s="118">
        <f>N43</f>
        <v>0</v>
      </c>
      <c r="K64" s="118">
        <f>M44</f>
        <v>0</v>
      </c>
      <c r="L64" s="118">
        <f>N44</f>
        <v>0</v>
      </c>
      <c r="M64" s="33"/>
      <c r="N64" s="33"/>
      <c r="O64" s="34"/>
    </row>
    <row r="65" spans="2:15" ht="12.75" hidden="1">
      <c r="B65" s="117" t="s">
        <v>34</v>
      </c>
      <c r="C65" s="118">
        <f>IF(C64=0,0,$M$45)</f>
        <v>0</v>
      </c>
      <c r="D65" s="118">
        <f>IF(D64=0,0,$N$45)</f>
        <v>0</v>
      </c>
      <c r="E65" s="118">
        <f>IF(E64=0,0,$M$45)</f>
        <v>0</v>
      </c>
      <c r="F65" s="118">
        <f>IF(F64=0,0,$N$45)</f>
        <v>0</v>
      </c>
      <c r="G65" s="118">
        <f>IF(G64=0,0,$M$45)</f>
        <v>0</v>
      </c>
      <c r="H65" s="118">
        <f>IF(H64=0,0,$N$45)</f>
        <v>0</v>
      </c>
      <c r="I65" s="118">
        <f>IF(I64=0,0,$M$45)</f>
        <v>0</v>
      </c>
      <c r="J65" s="118">
        <f>IF(J64=0,0,$N$45)</f>
        <v>0</v>
      </c>
      <c r="K65" s="118">
        <f>IF(K64=0,0,$M$45)</f>
        <v>0</v>
      </c>
      <c r="L65" s="118">
        <f>IF(L64=0,0,$N$45)</f>
        <v>0</v>
      </c>
      <c r="M65" s="33"/>
      <c r="N65" s="33"/>
      <c r="O65" s="226"/>
    </row>
    <row r="66" spans="2:15" ht="12.75" hidden="1">
      <c r="B66" s="117" t="s">
        <v>56</v>
      </c>
      <c r="C66" s="118">
        <f>$M$46</f>
        <v>1</v>
      </c>
      <c r="D66" s="118">
        <f>$N$46</f>
        <v>50</v>
      </c>
      <c r="E66" s="118">
        <f>$M$46</f>
        <v>1</v>
      </c>
      <c r="F66" s="118">
        <f>$N$46</f>
        <v>50</v>
      </c>
      <c r="G66" s="118">
        <f>$M$46</f>
        <v>1</v>
      </c>
      <c r="H66" s="118">
        <f>$N$46</f>
        <v>50</v>
      </c>
      <c r="I66" s="118">
        <f>$M$46</f>
        <v>1</v>
      </c>
      <c r="J66" s="118">
        <f>$N$46</f>
        <v>50</v>
      </c>
      <c r="K66" s="118">
        <f>$M$46</f>
        <v>1</v>
      </c>
      <c r="L66" s="118">
        <f>$N$46</f>
        <v>50</v>
      </c>
      <c r="M66" s="33"/>
      <c r="N66" s="33"/>
      <c r="O66" s="226"/>
    </row>
    <row r="67" spans="2:15" ht="12.75" hidden="1">
      <c r="B67" s="117" t="s">
        <v>57</v>
      </c>
      <c r="C67" s="118">
        <f>$M$47</f>
        <v>1</v>
      </c>
      <c r="D67" s="118">
        <f>$N$47</f>
        <v>50</v>
      </c>
      <c r="E67" s="118">
        <f>$M$47</f>
        <v>1</v>
      </c>
      <c r="F67" s="118">
        <f>$N$47</f>
        <v>50</v>
      </c>
      <c r="G67" s="118">
        <f>$M$47</f>
        <v>1</v>
      </c>
      <c r="H67" s="118">
        <f>$N$47</f>
        <v>50</v>
      </c>
      <c r="I67" s="118">
        <f>$M$47</f>
        <v>1</v>
      </c>
      <c r="J67" s="118">
        <f>$N$47</f>
        <v>50</v>
      </c>
      <c r="K67" s="118">
        <f>$M$47</f>
        <v>1</v>
      </c>
      <c r="L67" s="118">
        <f>$N$47</f>
        <v>50</v>
      </c>
      <c r="M67" s="33"/>
      <c r="N67" s="33"/>
      <c r="O67" s="226"/>
    </row>
    <row r="68" spans="2:15" ht="12.75" hidden="1">
      <c r="B68" s="117" t="s">
        <v>93</v>
      </c>
      <c r="C68" s="225">
        <f>C50</f>
        <v>0</v>
      </c>
      <c r="D68" s="225"/>
      <c r="E68" s="225">
        <f>E50</f>
        <v>0</v>
      </c>
      <c r="F68" s="225"/>
      <c r="G68" s="225">
        <f>G50</f>
        <v>0</v>
      </c>
      <c r="H68" s="225"/>
      <c r="I68" s="225">
        <f>I50</f>
        <v>0</v>
      </c>
      <c r="J68" s="225"/>
      <c r="K68" s="225">
        <f>K50</f>
        <v>0</v>
      </c>
      <c r="L68" s="225"/>
      <c r="M68" s="226"/>
      <c r="N68" s="226"/>
      <c r="O68" s="8"/>
    </row>
    <row r="69" spans="2:15" ht="12.75" hidden="1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33"/>
      <c r="N69" s="33"/>
      <c r="O69" s="34"/>
    </row>
    <row r="70" spans="2:15" ht="13.5" hidden="1" thickBot="1">
      <c r="B70" s="117"/>
      <c r="C70" s="116">
        <f>C52</f>
        <v>0</v>
      </c>
      <c r="D70" s="116">
        <f aca="true" t="shared" si="2" ref="D70:L70">D52</f>
        <v>0</v>
      </c>
      <c r="E70" s="116">
        <f t="shared" si="2"/>
        <v>0</v>
      </c>
      <c r="F70" s="116">
        <f t="shared" si="2"/>
        <v>0</v>
      </c>
      <c r="G70" s="116">
        <f t="shared" si="2"/>
        <v>0</v>
      </c>
      <c r="H70" s="116">
        <f t="shared" si="2"/>
        <v>0</v>
      </c>
      <c r="I70" s="116">
        <f t="shared" si="2"/>
        <v>0</v>
      </c>
      <c r="J70" s="116">
        <f t="shared" si="2"/>
        <v>0</v>
      </c>
      <c r="K70" s="116">
        <f t="shared" si="2"/>
        <v>0</v>
      </c>
      <c r="L70" s="116">
        <f t="shared" si="2"/>
        <v>0</v>
      </c>
      <c r="M70" s="121" t="s">
        <v>95</v>
      </c>
      <c r="N70" s="121"/>
      <c r="O70" s="102"/>
    </row>
    <row r="71" spans="2:15" ht="13.5" hidden="1" thickBot="1">
      <c r="B71" s="119" t="s">
        <v>92</v>
      </c>
      <c r="C71" s="120">
        <f>IF(C64=0,0,ROUNDDOWN(IF(C68&gt;=1,0,((ROUNDDOWN(C64*(1+C70+$P$13+$O$47),0))*(1+$O$42)+$P$12)*(1-C68)),0))</f>
        <v>0</v>
      </c>
      <c r="D71" s="120">
        <f>IF(D64=0,0,ROUNDDOWN(IF(C68&gt;=1,0,((ROUNDDOWN(D64*(1+D70+$P$13+$O$47),0))*(1+$O$42)+$P$12)*(1-C68)),0))</f>
        <v>0</v>
      </c>
      <c r="E71" s="120">
        <f>IF(E64=0,0,ROUNDDOWN(IF(E68&gt;=1,0,((ROUNDDOWN(E64*(1+E70+$P$13+$O$47),0))*(1+$O$42)+$P$12)*(1-E68)),0))</f>
        <v>0</v>
      </c>
      <c r="F71" s="120">
        <f>IF(F64=0,0,ROUNDDOWN(IF(E68&gt;=1,0,((ROUNDDOWN(F64*(1+F70+$P$13+$O$47),0))*(1+$O$42)+$P$12)*(1-E68)),0))</f>
        <v>0</v>
      </c>
      <c r="G71" s="120">
        <f>IF(G64=0,0,ROUNDDOWN(IF(G68&gt;=1,0,((ROUNDDOWN(G64*(1+G70+$P$13+$O$47),0))*(1+$O$42)+$P$12)*(1-G68)),0))</f>
        <v>0</v>
      </c>
      <c r="H71" s="120">
        <f>IF(H64=0,0,ROUNDDOWN(IF(G68&gt;=1,0,((ROUNDDOWN(H64*(1+H70+$P$13+$O$47),0))*(1+$O$42)+$P$12)*(1-G68)),0))</f>
        <v>0</v>
      </c>
      <c r="I71" s="120">
        <f>IF(I64=0,0,ROUNDDOWN(IF(I68&gt;=1,0,((ROUNDDOWN(I64*(1+I70+$P$13+$O$47),0))*(1+$O$42)+$P$12)*(1-I68)),0))</f>
        <v>0</v>
      </c>
      <c r="J71" s="120">
        <f>IF(J64=0,0,ROUNDDOWN(IF(I68&gt;=1,0,((ROUNDDOWN(J64*(1+J70+$P$13+$O$47),0))*(1+$O$42)+$P$12)*(1-I68)),0))</f>
        <v>0</v>
      </c>
      <c r="K71" s="120">
        <f>IF(K64=0,0,ROUNDDOWN(IF(K68&gt;=1,0,((ROUNDDOWN(K64*(1+K70+$P$13+$O$47),0))*(1+$O$42)+$P$12)*(1-K68)),0))</f>
        <v>0</v>
      </c>
      <c r="L71" s="120">
        <f>IF(L64=0,0,ROUNDDOWN(IF(K68&gt;=1,0,((ROUNDDOWN(L64*(1+L70+$P$13+$O$47),0))*(1+$O$42)+$P$12)*(1-K68)),0))</f>
        <v>0</v>
      </c>
      <c r="M71" s="122">
        <f>C71+E71+G71+I71+K71</f>
        <v>0</v>
      </c>
      <c r="N71" s="122">
        <f>D71+F71+H71+J71+L71</f>
        <v>0</v>
      </c>
      <c r="O71" s="268"/>
    </row>
    <row r="72" spans="2:15" ht="12.75" hidden="1">
      <c r="B72" s="119" t="s">
        <v>63</v>
      </c>
      <c r="C72" s="120">
        <f>IF(C65=0,0,ROUNDDOWN(IF(C68&gt;=1,0,((ROUNDDOWN(C65*(1+C70+$P$13+$O$47),0))*(1+$O$42)+$P$12)*(1-C68)),0))</f>
        <v>0</v>
      </c>
      <c r="D72" s="120">
        <f>IF(D65=0,0,ROUNDDOWN(IF(C68&gt;=1,0,((ROUNDDOWN(D65*(1+D70+$P$13+$O$47),0))*(1+$O$42)+$P$12)*(1-C68)),0))</f>
        <v>0</v>
      </c>
      <c r="E72" s="120">
        <f>IF(E65=0,0,ROUNDDOWN(IF(E68&gt;=1,0,((ROUNDDOWN(E65*(1+E70+$P$13+$O$47),0))*(1+$O$42)+$P$12)*(1-E68)),0))</f>
        <v>0</v>
      </c>
      <c r="F72" s="120">
        <f>IF(F65=0,0,ROUNDDOWN(IF(E68&gt;=1,0,((ROUNDDOWN(F65*(1+F70+$P$13+$O$47),0))*(1+$O$42)+$P$12)*(1-E68)),0))</f>
        <v>0</v>
      </c>
      <c r="G72" s="120">
        <f>IF(G65=0,0,ROUNDDOWN(IF(G68&gt;=1,0,((ROUNDDOWN(G65*(1+G70+$P$13+$O$47),0))*(1+$O$42)+$P$12)*(1-G68)),0))</f>
        <v>0</v>
      </c>
      <c r="H72" s="120">
        <f>IF(H65=0,0,ROUNDDOWN(IF(G68&gt;=1,0,((ROUNDDOWN(H65*(1+H70+$P$13+$O$47),0))*(1+$O$42)+$P$12)*(1-G68)),0))</f>
        <v>0</v>
      </c>
      <c r="I72" s="120">
        <f>IF(I65=0,0,ROUNDDOWN(IF(I68&gt;=1,0,((ROUNDDOWN(I65*(1+I70+$P$13+$O$47),0))*(1+$O$42)+$P$12)*(1-I68)),0))</f>
        <v>0</v>
      </c>
      <c r="J72" s="120">
        <f>IF(J65=0,0,ROUNDDOWN(IF(I68&gt;=1,0,((ROUNDDOWN(J65*(1+J70+$P$13+$O$47),0))*(1+$O$42)+$P$12)*(1-I68)),0))</f>
        <v>0</v>
      </c>
      <c r="K72" s="120">
        <f>IF(K65=0,0,ROUNDDOWN(IF(K68&gt;=1,0,((ROUNDDOWN(K65*(1+K70+$P$13+$O$47),0))*(1+$O$42)+$P$12)*(1-K68)),0))</f>
        <v>0</v>
      </c>
      <c r="L72" s="120">
        <f>IF(L65=0,0,ROUNDDOWN(IF(K68&gt;=1,0,((ROUNDDOWN(L65*(1+L70+$P$13+$O$47),0))*(1+$O$42)+$P$12)*(1-K68)),0))</f>
        <v>0</v>
      </c>
      <c r="M72" s="122">
        <f>C72+E72+G72+I72+K72</f>
        <v>0</v>
      </c>
      <c r="N72" s="122">
        <f>D72+F72+H72+J72+L72</f>
        <v>0</v>
      </c>
      <c r="O72" s="268"/>
    </row>
    <row r="73" ht="12.75" hidden="1"/>
    <row r="74" ht="13.5" thickBot="1"/>
    <row r="75" spans="2:20" ht="87" customHeight="1" thickBot="1">
      <c r="B75" s="123" t="s">
        <v>124</v>
      </c>
      <c r="C75" s="124" t="s">
        <v>67</v>
      </c>
      <c r="D75" s="41" t="s">
        <v>68</v>
      </c>
      <c r="E75" s="41" t="s">
        <v>69</v>
      </c>
      <c r="F75" s="41" t="s">
        <v>70</v>
      </c>
      <c r="G75" s="41" t="s">
        <v>71</v>
      </c>
      <c r="H75" s="41" t="s">
        <v>72</v>
      </c>
      <c r="I75" s="41" t="s">
        <v>73</v>
      </c>
      <c r="J75" s="41" t="s">
        <v>74</v>
      </c>
      <c r="K75" s="41" t="s">
        <v>75</v>
      </c>
      <c r="L75" s="41" t="s">
        <v>76</v>
      </c>
      <c r="M75" s="42" t="s">
        <v>77</v>
      </c>
      <c r="N75" s="42" t="s">
        <v>0</v>
      </c>
      <c r="P75"/>
      <c r="Q75" s="40"/>
      <c r="R75" s="40"/>
      <c r="T75" s="8"/>
    </row>
    <row r="76" spans="2:22" ht="36" customHeight="1">
      <c r="B76" s="125" t="s">
        <v>99</v>
      </c>
      <c r="C76" s="204">
        <v>-0.3</v>
      </c>
      <c r="D76" s="190">
        <v>0.4</v>
      </c>
      <c r="E76" s="190">
        <v>-0.3</v>
      </c>
      <c r="F76" s="190">
        <v>-0.3</v>
      </c>
      <c r="G76" s="190">
        <v>-0.3</v>
      </c>
      <c r="H76" s="190">
        <v>0.4</v>
      </c>
      <c r="I76" s="190">
        <v>-0.3</v>
      </c>
      <c r="J76" s="190">
        <v>-0.3</v>
      </c>
      <c r="K76" s="190">
        <v>-0.3</v>
      </c>
      <c r="L76" s="190">
        <v>-0.3</v>
      </c>
      <c r="M76" s="191">
        <v>-0.3</v>
      </c>
      <c r="N76" s="197"/>
      <c r="P76"/>
      <c r="Q76" s="40"/>
      <c r="R76" s="40"/>
      <c r="U76" s="8"/>
      <c r="V76" s="8"/>
    </row>
    <row r="77" spans="2:22" ht="36" customHeight="1">
      <c r="B77" s="126" t="s">
        <v>100</v>
      </c>
      <c r="C77" s="192">
        <v>0.1</v>
      </c>
      <c r="D77" s="193">
        <v>0.1</v>
      </c>
      <c r="E77" s="193">
        <v>0.1</v>
      </c>
      <c r="F77" s="193">
        <v>0.2</v>
      </c>
      <c r="G77" s="193">
        <v>0.1</v>
      </c>
      <c r="H77" s="193">
        <v>-0.3</v>
      </c>
      <c r="I77" s="193">
        <v>-0.3</v>
      </c>
      <c r="J77" s="193">
        <v>-0.3</v>
      </c>
      <c r="K77" s="193">
        <v>-0.3</v>
      </c>
      <c r="L77" s="193">
        <v>0.4</v>
      </c>
      <c r="M77" s="194">
        <v>-0.3</v>
      </c>
      <c r="N77" s="198"/>
      <c r="P77"/>
      <c r="Q77" s="40"/>
      <c r="R77" s="40"/>
      <c r="U77" s="8"/>
      <c r="V77" s="8"/>
    </row>
    <row r="78" spans="2:22" ht="36" customHeight="1">
      <c r="B78" s="126" t="s">
        <v>101</v>
      </c>
      <c r="C78" s="192">
        <v>-0.3</v>
      </c>
      <c r="D78" s="193">
        <v>-0.3</v>
      </c>
      <c r="E78" s="193">
        <v>-0.3</v>
      </c>
      <c r="F78" s="193">
        <v>0.4</v>
      </c>
      <c r="G78" s="193">
        <v>-0.3</v>
      </c>
      <c r="H78" s="193">
        <v>-0.3</v>
      </c>
      <c r="I78" s="193">
        <v>-0.3</v>
      </c>
      <c r="J78" s="193">
        <v>-0.3</v>
      </c>
      <c r="K78" s="193">
        <v>-0.3</v>
      </c>
      <c r="L78" s="193">
        <v>-0.3</v>
      </c>
      <c r="M78" s="194">
        <v>-0.3</v>
      </c>
      <c r="N78" s="198"/>
      <c r="P78"/>
      <c r="Q78" s="40"/>
      <c r="R78" s="40"/>
      <c r="U78" s="8"/>
      <c r="V78" s="8"/>
    </row>
    <row r="79" spans="2:22" ht="36" customHeight="1">
      <c r="B79" s="126" t="s">
        <v>102</v>
      </c>
      <c r="C79" s="192">
        <v>-0.3</v>
      </c>
      <c r="D79" s="193">
        <v>-0.3</v>
      </c>
      <c r="E79" s="193">
        <v>-0.3</v>
      </c>
      <c r="F79" s="193">
        <v>-0.3</v>
      </c>
      <c r="G79" s="193">
        <v>-0.3</v>
      </c>
      <c r="H79" s="193">
        <v>-0.3</v>
      </c>
      <c r="I79" s="193">
        <v>-0.3</v>
      </c>
      <c r="J79" s="193">
        <v>-0.3</v>
      </c>
      <c r="K79" s="193">
        <v>-0.3</v>
      </c>
      <c r="L79" s="193">
        <v>-0.3</v>
      </c>
      <c r="M79" s="194">
        <v>-0.3</v>
      </c>
      <c r="N79" s="198"/>
      <c r="P79"/>
      <c r="Q79" s="40"/>
      <c r="R79" s="40"/>
      <c r="U79" s="8"/>
      <c r="V79" s="8"/>
    </row>
    <row r="80" spans="2:22" ht="36" customHeight="1">
      <c r="B80" s="126" t="s">
        <v>103</v>
      </c>
      <c r="C80" s="192">
        <v>-0.3</v>
      </c>
      <c r="D80" s="193">
        <v>-0.3</v>
      </c>
      <c r="E80" s="193">
        <v>-0.3</v>
      </c>
      <c r="F80" s="193">
        <v>-0.3</v>
      </c>
      <c r="G80" s="193">
        <v>-0.3</v>
      </c>
      <c r="H80" s="193">
        <v>0.1</v>
      </c>
      <c r="I80" s="193">
        <v>0.4</v>
      </c>
      <c r="J80" s="193">
        <v>0.1</v>
      </c>
      <c r="K80" s="193">
        <v>-0.3</v>
      </c>
      <c r="L80" s="193">
        <v>-0.3</v>
      </c>
      <c r="M80" s="194">
        <v>0.4</v>
      </c>
      <c r="N80" s="198"/>
      <c r="P80"/>
      <c r="Q80" s="40"/>
      <c r="R80" s="40"/>
      <c r="U80" s="8"/>
      <c r="V80" s="8"/>
    </row>
    <row r="81" spans="2:20" ht="36" customHeight="1">
      <c r="B81" s="126" t="s">
        <v>104</v>
      </c>
      <c r="C81" s="192">
        <v>0.4</v>
      </c>
      <c r="D81" s="193">
        <v>-0.3</v>
      </c>
      <c r="E81" s="193">
        <v>-0.3</v>
      </c>
      <c r="F81" s="193">
        <v>-0.3</v>
      </c>
      <c r="G81" s="193">
        <v>-0.3</v>
      </c>
      <c r="H81" s="193">
        <v>-0.3</v>
      </c>
      <c r="I81" s="193">
        <v>-0.3</v>
      </c>
      <c r="J81" s="193">
        <v>-0.3</v>
      </c>
      <c r="K81" s="193">
        <v>-0.3</v>
      </c>
      <c r="L81" s="193">
        <v>0.1</v>
      </c>
      <c r="M81" s="194">
        <v>-0.3</v>
      </c>
      <c r="N81" s="198"/>
      <c r="P81"/>
      <c r="Q81" s="40"/>
      <c r="R81" s="40"/>
      <c r="T81" s="8"/>
    </row>
    <row r="82" spans="2:20" ht="36" customHeight="1">
      <c r="B82" s="126" t="s">
        <v>105</v>
      </c>
      <c r="C82" s="192">
        <v>-0.3</v>
      </c>
      <c r="D82" s="193">
        <v>-0.3</v>
      </c>
      <c r="E82" s="193">
        <v>-0.3</v>
      </c>
      <c r="F82" s="193">
        <v>-0.3</v>
      </c>
      <c r="G82" s="193">
        <v>0.4</v>
      </c>
      <c r="H82" s="193">
        <v>0</v>
      </c>
      <c r="I82" s="193">
        <v>0.1</v>
      </c>
      <c r="J82" s="193">
        <v>0.4</v>
      </c>
      <c r="K82" s="193">
        <v>-0.3</v>
      </c>
      <c r="L82" s="193">
        <v>-0.3</v>
      </c>
      <c r="M82" s="194">
        <v>-0.3</v>
      </c>
      <c r="N82" s="198"/>
      <c r="P82"/>
      <c r="Q82" s="40"/>
      <c r="R82" s="40"/>
      <c r="T82" s="8"/>
    </row>
    <row r="83" spans="2:20" ht="36" customHeight="1" thickBot="1">
      <c r="B83" s="127" t="s">
        <v>106</v>
      </c>
      <c r="C83" s="195">
        <v>-0.2</v>
      </c>
      <c r="D83" s="196">
        <v>-0.3</v>
      </c>
      <c r="E83" s="196">
        <v>0.4</v>
      </c>
      <c r="F83" s="196">
        <v>-0.3</v>
      </c>
      <c r="G83" s="196">
        <v>-0.3</v>
      </c>
      <c r="H83" s="196">
        <v>-0.3</v>
      </c>
      <c r="I83" s="196">
        <v>-0.3</v>
      </c>
      <c r="J83" s="196">
        <v>-0.3</v>
      </c>
      <c r="K83" s="196">
        <v>-0.3</v>
      </c>
      <c r="L83" s="196">
        <v>-0.3</v>
      </c>
      <c r="M83" s="201">
        <v>0.1</v>
      </c>
      <c r="N83" s="199"/>
      <c r="P83"/>
      <c r="Q83" s="40"/>
      <c r="R83" s="40"/>
      <c r="T83" s="8"/>
    </row>
    <row r="84" spans="2:20" ht="36" customHeight="1" thickBot="1">
      <c r="B84" s="127" t="s">
        <v>8</v>
      </c>
      <c r="C84" s="195">
        <v>0</v>
      </c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201">
        <v>0</v>
      </c>
      <c r="N84" s="199"/>
      <c r="P84"/>
      <c r="Q84" s="40"/>
      <c r="R84" s="40"/>
      <c r="T84" s="8"/>
    </row>
    <row r="86" spans="3:15" ht="18" customHeight="1" hidden="1" thickBot="1">
      <c r="C86" s="149">
        <f>IF(C3&lt;&gt;"",1,"")</f>
      </c>
      <c r="D86" s="149">
        <f aca="true" t="shared" si="3" ref="D86:M86">IF(D3&lt;&gt;"",1,"")</f>
      </c>
      <c r="E86" s="149">
        <f t="shared" si="3"/>
      </c>
      <c r="F86" s="149">
        <f t="shared" si="3"/>
      </c>
      <c r="G86" s="149">
        <f t="shared" si="3"/>
      </c>
      <c r="H86" s="149">
        <f t="shared" si="3"/>
      </c>
      <c r="I86" s="149">
        <f t="shared" si="3"/>
      </c>
      <c r="J86" s="149">
        <f t="shared" si="3"/>
      </c>
      <c r="K86" s="149">
        <f t="shared" si="3"/>
      </c>
      <c r="L86" s="149">
        <f t="shared" si="3"/>
      </c>
      <c r="M86" s="149">
        <f t="shared" si="3"/>
      </c>
      <c r="N86" s="131">
        <f>SUM(N76:N84)</f>
        <v>0</v>
      </c>
      <c r="O86" s="121" t="s">
        <v>119</v>
      </c>
    </row>
    <row r="87" spans="3:14" ht="12.75" hidden="1">
      <c r="C87" s="150">
        <f aca="true" t="shared" si="4" ref="C87:C95">IF(AND(C$86=1,$N87=1),C76,"")</f>
      </c>
      <c r="D87" s="151">
        <f aca="true" t="shared" si="5" ref="D87:M87">IF(AND(D$86=1,$N87=1),D76,"")</f>
      </c>
      <c r="E87" s="151">
        <f t="shared" si="5"/>
      </c>
      <c r="F87" s="151">
        <f t="shared" si="5"/>
      </c>
      <c r="G87" s="151">
        <f t="shared" si="5"/>
      </c>
      <c r="H87" s="151">
        <f t="shared" si="5"/>
      </c>
      <c r="I87" s="151">
        <f t="shared" si="5"/>
      </c>
      <c r="J87" s="151">
        <f t="shared" si="5"/>
      </c>
      <c r="K87" s="151">
        <f t="shared" si="5"/>
      </c>
      <c r="L87" s="151">
        <f t="shared" si="5"/>
      </c>
      <c r="M87" s="152">
        <f t="shared" si="5"/>
      </c>
      <c r="N87" s="153">
        <f>IF(N76&lt;&gt;"",1,"")</f>
      </c>
    </row>
    <row r="88" spans="3:14" ht="12.75" hidden="1">
      <c r="C88" s="154">
        <f t="shared" si="4"/>
      </c>
      <c r="D88" s="155">
        <f aca="true" t="shared" si="6" ref="D88:M88">IF(AND(D$86=1,$N88=1),D77,"")</f>
      </c>
      <c r="E88" s="155">
        <f t="shared" si="6"/>
      </c>
      <c r="F88" s="155">
        <f t="shared" si="6"/>
      </c>
      <c r="G88" s="155">
        <f t="shared" si="6"/>
      </c>
      <c r="H88" s="155">
        <f t="shared" si="6"/>
      </c>
      <c r="I88" s="155">
        <f t="shared" si="6"/>
      </c>
      <c r="J88" s="155">
        <f t="shared" si="6"/>
      </c>
      <c r="K88" s="155">
        <f t="shared" si="6"/>
      </c>
      <c r="L88" s="155">
        <f t="shared" si="6"/>
      </c>
      <c r="M88" s="156">
        <f t="shared" si="6"/>
      </c>
      <c r="N88" s="153">
        <f aca="true" t="shared" si="7" ref="N88:N95">IF(N77&lt;&gt;"",1,"")</f>
      </c>
    </row>
    <row r="89" spans="3:14" ht="12.75" hidden="1">
      <c r="C89" s="154">
        <f t="shared" si="4"/>
      </c>
      <c r="D89" s="155">
        <f aca="true" t="shared" si="8" ref="D89:M89">IF(AND(D$86=1,$N89=1),D78,"")</f>
      </c>
      <c r="E89" s="155">
        <f t="shared" si="8"/>
      </c>
      <c r="F89" s="155">
        <f t="shared" si="8"/>
      </c>
      <c r="G89" s="155">
        <f t="shared" si="8"/>
      </c>
      <c r="H89" s="155">
        <f t="shared" si="8"/>
      </c>
      <c r="I89" s="155">
        <f t="shared" si="8"/>
      </c>
      <c r="J89" s="155">
        <f t="shared" si="8"/>
      </c>
      <c r="K89" s="155">
        <f t="shared" si="8"/>
      </c>
      <c r="L89" s="155">
        <f t="shared" si="8"/>
      </c>
      <c r="M89" s="156">
        <f t="shared" si="8"/>
      </c>
      <c r="N89" s="153">
        <f t="shared" si="7"/>
      </c>
    </row>
    <row r="90" spans="3:14" ht="12.75" hidden="1">
      <c r="C90" s="154">
        <f t="shared" si="4"/>
      </c>
      <c r="D90" s="155">
        <f aca="true" t="shared" si="9" ref="D90:M90">IF(AND(D$86=1,$N90=1),D79,"")</f>
      </c>
      <c r="E90" s="155">
        <f t="shared" si="9"/>
      </c>
      <c r="F90" s="155">
        <f t="shared" si="9"/>
      </c>
      <c r="G90" s="155">
        <f t="shared" si="9"/>
      </c>
      <c r="H90" s="155">
        <f t="shared" si="9"/>
      </c>
      <c r="I90" s="155">
        <f t="shared" si="9"/>
      </c>
      <c r="J90" s="155">
        <f t="shared" si="9"/>
      </c>
      <c r="K90" s="155">
        <f t="shared" si="9"/>
      </c>
      <c r="L90" s="155">
        <f t="shared" si="9"/>
      </c>
      <c r="M90" s="156">
        <f t="shared" si="9"/>
      </c>
      <c r="N90" s="153">
        <f t="shared" si="7"/>
      </c>
    </row>
    <row r="91" spans="3:14" ht="12.75" hidden="1">
      <c r="C91" s="154">
        <f t="shared" si="4"/>
      </c>
      <c r="D91" s="155">
        <f aca="true" t="shared" si="10" ref="D91:M91">IF(AND(D$86=1,$N91=1),D80,"")</f>
      </c>
      <c r="E91" s="155">
        <f t="shared" si="10"/>
      </c>
      <c r="F91" s="155">
        <f t="shared" si="10"/>
      </c>
      <c r="G91" s="155">
        <f t="shared" si="10"/>
      </c>
      <c r="H91" s="155">
        <f t="shared" si="10"/>
      </c>
      <c r="I91" s="155">
        <f t="shared" si="10"/>
      </c>
      <c r="J91" s="155">
        <f t="shared" si="10"/>
      </c>
      <c r="K91" s="155">
        <f t="shared" si="10"/>
      </c>
      <c r="L91" s="155">
        <f t="shared" si="10"/>
      </c>
      <c r="M91" s="156">
        <f t="shared" si="10"/>
      </c>
      <c r="N91" s="153">
        <f t="shared" si="7"/>
      </c>
    </row>
    <row r="92" spans="3:14" ht="12.75" hidden="1">
      <c r="C92" s="154">
        <f t="shared" si="4"/>
      </c>
      <c r="D92" s="155">
        <f aca="true" t="shared" si="11" ref="D92:M92">IF(AND(D$86=1,$N92=1),D81,"")</f>
      </c>
      <c r="E92" s="155">
        <f t="shared" si="11"/>
      </c>
      <c r="F92" s="155">
        <f t="shared" si="11"/>
      </c>
      <c r="G92" s="155">
        <f t="shared" si="11"/>
      </c>
      <c r="H92" s="155">
        <f t="shared" si="11"/>
      </c>
      <c r="I92" s="155">
        <f t="shared" si="11"/>
      </c>
      <c r="J92" s="155">
        <f t="shared" si="11"/>
      </c>
      <c r="K92" s="155">
        <f t="shared" si="11"/>
      </c>
      <c r="L92" s="155">
        <f t="shared" si="11"/>
      </c>
      <c r="M92" s="156">
        <f t="shared" si="11"/>
      </c>
      <c r="N92" s="153">
        <f t="shared" si="7"/>
      </c>
    </row>
    <row r="93" spans="3:14" ht="12.75" hidden="1">
      <c r="C93" s="154">
        <f t="shared" si="4"/>
      </c>
      <c r="D93" s="155">
        <f aca="true" t="shared" si="12" ref="D93:M93">IF(AND(D$86=1,$N93=1),D82,"")</f>
      </c>
      <c r="E93" s="155">
        <f t="shared" si="12"/>
      </c>
      <c r="F93" s="155">
        <f t="shared" si="12"/>
      </c>
      <c r="G93" s="155">
        <f t="shared" si="12"/>
      </c>
      <c r="H93" s="155">
        <f t="shared" si="12"/>
      </c>
      <c r="I93" s="155">
        <f t="shared" si="12"/>
      </c>
      <c r="J93" s="155">
        <f t="shared" si="12"/>
      </c>
      <c r="K93" s="155">
        <f t="shared" si="12"/>
      </c>
      <c r="L93" s="155">
        <f t="shared" si="12"/>
      </c>
      <c r="M93" s="156">
        <f t="shared" si="12"/>
      </c>
      <c r="N93" s="153">
        <f t="shared" si="7"/>
      </c>
    </row>
    <row r="94" spans="3:14" ht="13.5" hidden="1" thickBot="1">
      <c r="C94" s="157">
        <f t="shared" si="4"/>
      </c>
      <c r="D94" s="158">
        <f aca="true" t="shared" si="13" ref="D94:M94">IF(AND(D$86=1,$N94=1),D83,"")</f>
      </c>
      <c r="E94" s="158">
        <f t="shared" si="13"/>
      </c>
      <c r="F94" s="158">
        <f t="shared" si="13"/>
      </c>
      <c r="G94" s="158">
        <f t="shared" si="13"/>
      </c>
      <c r="H94" s="158">
        <f t="shared" si="13"/>
      </c>
      <c r="I94" s="158">
        <f t="shared" si="13"/>
      </c>
      <c r="J94" s="158">
        <f t="shared" si="13"/>
      </c>
      <c r="K94" s="158">
        <f t="shared" si="13"/>
      </c>
      <c r="L94" s="158">
        <f t="shared" si="13"/>
      </c>
      <c r="M94" s="159">
        <f t="shared" si="13"/>
      </c>
      <c r="N94" s="153">
        <f t="shared" si="7"/>
      </c>
    </row>
    <row r="95" spans="3:14" ht="12.75" hidden="1">
      <c r="C95" s="150">
        <f t="shared" si="4"/>
      </c>
      <c r="D95" s="151">
        <f aca="true" t="shared" si="14" ref="D95:M95">IF(AND(D$86=1,$N95=1),D84,"")</f>
      </c>
      <c r="E95" s="151">
        <f t="shared" si="14"/>
      </c>
      <c r="F95" s="151">
        <f t="shared" si="14"/>
      </c>
      <c r="G95" s="151">
        <f t="shared" si="14"/>
      </c>
      <c r="H95" s="151">
        <f t="shared" si="14"/>
      </c>
      <c r="I95" s="151">
        <f t="shared" si="14"/>
      </c>
      <c r="J95" s="151">
        <f t="shared" si="14"/>
      </c>
      <c r="K95" s="151">
        <f t="shared" si="14"/>
      </c>
      <c r="L95" s="151">
        <f t="shared" si="14"/>
      </c>
      <c r="M95" s="152">
        <f t="shared" si="14"/>
      </c>
      <c r="N95" s="153">
        <f t="shared" si="7"/>
      </c>
    </row>
    <row r="96" ht="13.5" hidden="1" thickBot="1"/>
    <row r="97" spans="3:14" ht="30" customHeight="1">
      <c r="C97" s="176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</row>
    <row r="98" spans="3:14" ht="12" customHeight="1" thickBot="1">
      <c r="C98" s="176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</row>
    <row r="99" spans="3:14" ht="30" customHeight="1">
      <c r="C99" s="223" t="s">
        <v>9</v>
      </c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8"/>
    </row>
    <row r="100" spans="3:14" ht="30" customHeight="1">
      <c r="C100" s="215">
        <v>1</v>
      </c>
      <c r="D100" s="255" t="s">
        <v>108</v>
      </c>
      <c r="E100" s="255"/>
      <c r="F100" s="255"/>
      <c r="G100" s="255"/>
      <c r="H100" s="255"/>
      <c r="I100" s="255"/>
      <c r="J100" s="255"/>
      <c r="K100" s="255"/>
      <c r="L100" s="255"/>
      <c r="M100" s="255"/>
      <c r="N100" s="256"/>
    </row>
    <row r="101" spans="3:14" ht="30" customHeight="1">
      <c r="C101" s="215">
        <v>2</v>
      </c>
      <c r="D101" s="255" t="s">
        <v>125</v>
      </c>
      <c r="E101" s="255"/>
      <c r="F101" s="255"/>
      <c r="G101" s="255"/>
      <c r="H101" s="255"/>
      <c r="I101" s="255"/>
      <c r="J101" s="255"/>
      <c r="K101" s="255"/>
      <c r="L101" s="255"/>
      <c r="M101" s="255"/>
      <c r="N101" s="256"/>
    </row>
    <row r="102" spans="3:14" ht="30" customHeight="1">
      <c r="C102" s="215">
        <v>3</v>
      </c>
      <c r="D102" s="255" t="s">
        <v>126</v>
      </c>
      <c r="E102" s="255"/>
      <c r="F102" s="255"/>
      <c r="G102" s="255"/>
      <c r="H102" s="255"/>
      <c r="I102" s="255"/>
      <c r="J102" s="255"/>
      <c r="K102" s="255"/>
      <c r="L102" s="255"/>
      <c r="M102" s="255"/>
      <c r="N102" s="256"/>
    </row>
    <row r="103" spans="3:14" ht="30" customHeight="1" thickBot="1">
      <c r="C103" s="216">
        <v>4</v>
      </c>
      <c r="D103" s="257" t="s">
        <v>109</v>
      </c>
      <c r="E103" s="257"/>
      <c r="F103" s="257"/>
      <c r="G103" s="257"/>
      <c r="H103" s="257"/>
      <c r="I103" s="257"/>
      <c r="J103" s="257"/>
      <c r="K103" s="257"/>
      <c r="L103" s="257"/>
      <c r="M103" s="257"/>
      <c r="N103" s="258"/>
    </row>
    <row r="104" ht="30" customHeight="1"/>
    <row r="106" ht="24.75" customHeight="1"/>
    <row r="107" ht="45" customHeight="1"/>
  </sheetData>
  <mergeCells count="92">
    <mergeCell ref="N4:P5"/>
    <mergeCell ref="J5:L5"/>
    <mergeCell ref="J6:L6"/>
    <mergeCell ref="F9:J10"/>
    <mergeCell ref="J7:L7"/>
    <mergeCell ref="J8:L8"/>
    <mergeCell ref="H5:I5"/>
    <mergeCell ref="E6:G7"/>
    <mergeCell ref="E5:G5"/>
    <mergeCell ref="O61:P61"/>
    <mergeCell ref="O40:P41"/>
    <mergeCell ref="O45:P46"/>
    <mergeCell ref="O42:P44"/>
    <mergeCell ref="O47:P49"/>
    <mergeCell ref="O57:P57"/>
    <mergeCell ref="O58:P58"/>
    <mergeCell ref="O59:P59"/>
    <mergeCell ref="O60:P60"/>
    <mergeCell ref="M50:P50"/>
    <mergeCell ref="M53:P53"/>
    <mergeCell ref="O54:P56"/>
    <mergeCell ref="M39:P39"/>
    <mergeCell ref="D97:N97"/>
    <mergeCell ref="O65:O67"/>
    <mergeCell ref="E53:F53"/>
    <mergeCell ref="G53:H53"/>
    <mergeCell ref="I53:J53"/>
    <mergeCell ref="K53:L53"/>
    <mergeCell ref="O71:O72"/>
    <mergeCell ref="D100:N100"/>
    <mergeCell ref="D101:N101"/>
    <mergeCell ref="D102:N102"/>
    <mergeCell ref="D103:N103"/>
    <mergeCell ref="C99:N99"/>
    <mergeCell ref="K61:L61"/>
    <mergeCell ref="G56:H56"/>
    <mergeCell ref="I56:J56"/>
    <mergeCell ref="M61:N61"/>
    <mergeCell ref="M58:N58"/>
    <mergeCell ref="K57:L57"/>
    <mergeCell ref="K56:L56"/>
    <mergeCell ref="M57:N57"/>
    <mergeCell ref="M56:N56"/>
    <mergeCell ref="I39:J39"/>
    <mergeCell ref="K39:L39"/>
    <mergeCell ref="K49:L49"/>
    <mergeCell ref="M49:N49"/>
    <mergeCell ref="I49:J49"/>
    <mergeCell ref="C61:D61"/>
    <mergeCell ref="G57:H57"/>
    <mergeCell ref="I57:J57"/>
    <mergeCell ref="E58:F58"/>
    <mergeCell ref="G58:H58"/>
    <mergeCell ref="I58:J58"/>
    <mergeCell ref="E61:F61"/>
    <mergeCell ref="C58:D58"/>
    <mergeCell ref="C60:D60"/>
    <mergeCell ref="C57:D57"/>
    <mergeCell ref="A12:A14"/>
    <mergeCell ref="C49:D49"/>
    <mergeCell ref="C50:D50"/>
    <mergeCell ref="E49:F49"/>
    <mergeCell ref="E50:F50"/>
    <mergeCell ref="G49:H49"/>
    <mergeCell ref="A20:A21"/>
    <mergeCell ref="A15:A19"/>
    <mergeCell ref="A22:A36"/>
    <mergeCell ref="C39:D39"/>
    <mergeCell ref="E39:F39"/>
    <mergeCell ref="G39:H39"/>
    <mergeCell ref="E57:F57"/>
    <mergeCell ref="E56:F56"/>
    <mergeCell ref="C56:D56"/>
    <mergeCell ref="C53:D53"/>
    <mergeCell ref="E60:F60"/>
    <mergeCell ref="G60:H60"/>
    <mergeCell ref="I60:J60"/>
    <mergeCell ref="K60:L60"/>
    <mergeCell ref="C68:D68"/>
    <mergeCell ref="E68:F68"/>
    <mergeCell ref="G68:H68"/>
    <mergeCell ref="I68:J68"/>
    <mergeCell ref="S2:U2"/>
    <mergeCell ref="K68:L68"/>
    <mergeCell ref="M68:N68"/>
    <mergeCell ref="G50:H50"/>
    <mergeCell ref="I50:J50"/>
    <mergeCell ref="K50:L50"/>
    <mergeCell ref="I61:J61"/>
    <mergeCell ref="M60:N60"/>
    <mergeCell ref="K58:L58"/>
    <mergeCell ref="G61:H6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Calculateur de Dégâts Dofus</dc:title>
  <dc:subject/>
  <dc:creator>Eléonie Princesse des Vents</dc:creator>
  <cp:keywords/>
  <dc:description/>
  <cp:lastModifiedBy>ROUBAUD</cp:lastModifiedBy>
  <cp:lastPrinted>2005-10-17T22:44:19Z</cp:lastPrinted>
  <dcterms:created xsi:type="dcterms:W3CDTF">1996-10-21T11:03:58Z</dcterms:created>
  <dcterms:modified xsi:type="dcterms:W3CDTF">2005-12-23T09:57:19Z</dcterms:modified>
  <cp:category/>
  <cp:version/>
  <cp:contentType/>
  <cp:contentStatus/>
</cp:coreProperties>
</file>